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pivotTables/pivotTable1.xml" ContentType="application/vnd.openxmlformats-officedocument.spreadsheetml.pivotTable+xml"/>
  <Override PartName="/xl/tables/table4.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tables/table5.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16.xml" ContentType="application/vnd.openxmlformats-officedocument.drawing+xml"/>
  <Override PartName="/xl/tables/table6.xml" ContentType="application/vnd.openxmlformats-officedocument.spreadsheetml.table+xml"/>
  <Override PartName="/xl/drawings/drawing17.xml" ContentType="application/vnd.openxmlformats-officedocument.drawing+xml"/>
  <Override PartName="/xl/drawings/drawing18.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mc:AlternateContent xmlns:mc="http://schemas.openxmlformats.org/markup-compatibility/2006">
    <mc:Choice Requires="x15">
      <x15ac:absPath xmlns:x15ac="http://schemas.microsoft.com/office/spreadsheetml/2010/11/ac" url="https://d.docs.live.net/a4169748e6e34253/Desktop/KAGR/"/>
    </mc:Choice>
  </mc:AlternateContent>
  <xr:revisionPtr revIDLastSave="0" documentId="8_{977C6C52-0E05-4B25-B351-1FE7368D72BB}" xr6:coauthVersionLast="47" xr6:coauthVersionMax="47" xr10:uidLastSave="{00000000-0000-0000-0000-000000000000}"/>
  <bookViews>
    <workbookView xWindow="-98" yWindow="-98" windowWidth="21795" windowHeight="12975" tabRatio="951" xr2:uid="{00000000-000D-0000-FFFF-FFFF00000000}"/>
  </bookViews>
  <sheets>
    <sheet name="SUMIFS" sheetId="27" r:id="rId1"/>
    <sheet name="Contents" sheetId="21" r:id="rId2"/>
    <sheet name="Data Cleaning &amp; Analysis" sheetId="5" r:id="rId3"/>
    <sheet name="Sheet1" sheetId="22" r:id="rId4"/>
    <sheet name="DataTransform - SUBSTITUTE" sheetId="10" r:id="rId5"/>
    <sheet name="Dateing Tips" sheetId="6" r:id="rId6"/>
    <sheet name="Cell Ref ($) &amp; Dynamic Arrays" sheetId="4" r:id="rId7"/>
    <sheet name="Ethos of Business Modelling" sheetId="12" r:id="rId8"/>
    <sheet name="Find &amp; Replace" sheetId="8" r:id="rId9"/>
    <sheet name="Pivots, Countifs, #, Flash Fill" sheetId="11" r:id="rId10"/>
    <sheet name="Detail1" sheetId="25" r:id="rId11"/>
    <sheet name="Detail2" sheetId="26" r:id="rId12"/>
    <sheet name="Sheet2" sheetId="24" r:id="rId13"/>
    <sheet name="Pivots, Countifs, #, Flash  (2)" sheetId="23" r:id="rId14"/>
    <sheet name="Lookups" sheetId="7" r:id="rId15"/>
    <sheet name="Sheet3" sheetId="30" r:id="rId16"/>
    <sheet name="Approximate Lookups" sheetId="14" r:id="rId17"/>
    <sheet name="PowerQuery" sheetId="16" r:id="rId18"/>
    <sheet name="3D Lookups" sheetId="13" r:id="rId19"/>
    <sheet name="Multi-Vlookup" sheetId="9" r:id="rId20"/>
    <sheet name="EMI Computations - Goal Seek" sheetId="3" r:id="rId21"/>
    <sheet name="3D Lookups (3)" sheetId="29" r:id="rId22"/>
    <sheet name="3D Lookups (2)" sheetId="28" r:id="rId23"/>
    <sheet name="DataTypes" sheetId="17" r:id="rId24"/>
    <sheet name="Data visualization" sheetId="2" r:id="rId25"/>
    <sheet name="Take_Home_Case_Studies&gt;&gt;" sheetId="20" r:id="rId26"/>
    <sheet name="NPV, IRR &amp; DV" sheetId="15" r:id="rId27"/>
    <sheet name="Dashboard &amp; Rankif" sheetId="18" r:id="rId28"/>
    <sheet name="Revenue Analysis PrimeNum" sheetId="19" r:id="rId29"/>
  </sheets>
  <definedNames>
    <definedName name="_xlnm._FilterDatabase" localSheetId="16" hidden="1">'Approximate Lookups'!$G$13:$I$17</definedName>
    <definedName name="_xlnm._FilterDatabase" localSheetId="27" hidden="1">'Dashboard &amp; Rankif'!$B$4:$E$54</definedName>
    <definedName name="_xlnm._FilterDatabase" localSheetId="2" hidden="1">'Data Cleaning &amp; Analysis'!$A$3:$A$18</definedName>
    <definedName name="_xlnm._FilterDatabase" localSheetId="19" hidden="1">'Multi-Vlookup'!$A$7:$B$19</definedName>
    <definedName name="_xlnm._FilterDatabase" localSheetId="13" hidden="1">'Pivots, Countifs, #, Flash  (2)'!$A$6:$E$56</definedName>
    <definedName name="_xlnm._FilterDatabase" localSheetId="9" hidden="1">'Pivots, Countifs, #, Flash Fill'!$A$6:$C$58</definedName>
    <definedName name="_xlnm._FilterDatabase" localSheetId="0" hidden="1">SUMIFS!$E$46:$F$52</definedName>
    <definedName name="Cumsum">_xlfn.LAMBDA(_xlpm.array,_xlfn.SCAN(0,_xlpm.array,_xlfn.LAMBDA(_xlpm.i,_xlpm.c,_xlpm.i+_xlpm.c)))</definedName>
    <definedName name="Shyam">_xlfn.LAMBDA(_xlpm.choosecashflows,_xlfn.SCAN(0,_xlpm.choosecashflows,_xlfn.LAMBDA(_xlpm.x,_xlpm.y,_xlpm.x+_xlpm.y)))</definedName>
  </definedNames>
  <calcPr calcId="191029"/>
  <pivotCaches>
    <pivotCache cacheId="0" r:id="rId3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5" i="30" l="1"/>
  <c r="AJ34" i="30"/>
  <c r="AJ35" i="30" s="1"/>
  <c r="AJ36" i="30" s="1"/>
  <c r="AK34" i="30" s="1"/>
  <c r="T34" i="30"/>
  <c r="T35" i="30" s="1"/>
  <c r="T36" i="30" s="1"/>
  <c r="U34" i="30" s="1"/>
  <c r="G34" i="30"/>
  <c r="G35" i="30" s="1"/>
  <c r="G36" i="30" s="1"/>
  <c r="H34" i="30" s="1"/>
  <c r="F35" i="30"/>
  <c r="F36" i="30" s="1"/>
  <c r="F34" i="30"/>
  <c r="E36" i="30"/>
  <c r="E35" i="30"/>
  <c r="C30" i="30"/>
  <c r="C31" i="30" s="1"/>
  <c r="D19" i="30"/>
  <c r="G11" i="30"/>
  <c r="G13" i="30" s="1"/>
  <c r="G9" i="30"/>
  <c r="G5" i="30"/>
  <c r="C5" i="30"/>
  <c r="C9" i="30" s="1"/>
  <c r="C11" i="30" s="1"/>
  <c r="C13" i="30" s="1"/>
  <c r="C14" i="30" s="1"/>
  <c r="I29" i="14" a="1"/>
  <c r="I29" i="14" s="1"/>
  <c r="H30" i="14"/>
  <c r="H29" i="14"/>
  <c r="U26" i="14"/>
  <c r="C15" i="13" a="1"/>
  <c r="C15" i="13" s="1"/>
  <c r="C15" i="29" a="1"/>
  <c r="C15" i="29" s="1"/>
  <c r="N32" i="29" a="1"/>
  <c r="N32" i="29" s="1"/>
  <c r="N35" i="29" s="1"/>
  <c r="F32" i="29" a="1"/>
  <c r="F32" i="29" s="1"/>
  <c r="E32" i="29" a="1"/>
  <c r="E32" i="29" s="1"/>
  <c r="D32" i="29" a="1"/>
  <c r="D32" i="29" s="1"/>
  <c r="C32" i="29" a="1"/>
  <c r="C32" i="29" s="1"/>
  <c r="F31" i="29" a="1"/>
  <c r="F31" i="29" s="1"/>
  <c r="E31" i="29" a="1"/>
  <c r="E31" i="29" s="1"/>
  <c r="D31" i="29" a="1"/>
  <c r="D31" i="29" s="1"/>
  <c r="C31" i="29" a="1"/>
  <c r="C31" i="29" s="1"/>
  <c r="F30" i="29" a="1"/>
  <c r="F30" i="29" s="1"/>
  <c r="E30" i="29" a="1"/>
  <c r="E30" i="29" s="1"/>
  <c r="D30" i="29" a="1"/>
  <c r="D30" i="29" s="1"/>
  <c r="C30" i="29" a="1"/>
  <c r="C30" i="29" s="1"/>
  <c r="F29" i="29" a="1"/>
  <c r="F29" i="29" s="1"/>
  <c r="E29" i="29" a="1"/>
  <c r="E29" i="29" s="1"/>
  <c r="D29" i="29" a="1"/>
  <c r="D29" i="29" s="1"/>
  <c r="C29" i="29" a="1"/>
  <c r="C29" i="29" s="1"/>
  <c r="F28" i="29" a="1"/>
  <c r="F28" i="29" s="1"/>
  <c r="E28" i="29" a="1"/>
  <c r="E28" i="29" s="1"/>
  <c r="D28" i="29" a="1"/>
  <c r="D28" i="29" s="1"/>
  <c r="C28" i="29" a="1"/>
  <c r="C28" i="29" s="1"/>
  <c r="F27" i="29" a="1"/>
  <c r="F27" i="29" s="1"/>
  <c r="E27" i="29" a="1"/>
  <c r="E27" i="29" s="1"/>
  <c r="D27" i="29" a="1"/>
  <c r="D27" i="29" s="1"/>
  <c r="C27" i="29" a="1"/>
  <c r="C27" i="29" s="1"/>
  <c r="F26" i="29" a="1"/>
  <c r="F26" i="29" s="1"/>
  <c r="E26" i="29" a="1"/>
  <c r="E26" i="29" s="1"/>
  <c r="D26" i="29" a="1"/>
  <c r="D26" i="29" s="1"/>
  <c r="C26" i="29" a="1"/>
  <c r="C26" i="29" s="1"/>
  <c r="F25" i="29" a="1"/>
  <c r="F25" i="29" s="1"/>
  <c r="E25" i="29" a="1"/>
  <c r="E25" i="29" s="1"/>
  <c r="D25" i="29" a="1"/>
  <c r="D25" i="29" s="1"/>
  <c r="C25" i="29" a="1"/>
  <c r="C25" i="29" s="1"/>
  <c r="F24" i="29" a="1"/>
  <c r="F24" i="29" s="1"/>
  <c r="E24" i="29" a="1"/>
  <c r="E24" i="29" s="1"/>
  <c r="D24" i="29" a="1"/>
  <c r="D24" i="29" s="1"/>
  <c r="C24" i="29" a="1"/>
  <c r="C24" i="29" s="1"/>
  <c r="F23" i="29" a="1"/>
  <c r="F23" i="29" s="1"/>
  <c r="E23" i="29" a="1"/>
  <c r="E23" i="29" s="1"/>
  <c r="D23" i="29" a="1"/>
  <c r="D23" i="29" s="1"/>
  <c r="C23" i="29" a="1"/>
  <c r="C23" i="29" s="1"/>
  <c r="F22" i="29" a="1"/>
  <c r="F22" i="29" s="1"/>
  <c r="E22" i="29" a="1"/>
  <c r="E22" i="29" s="1"/>
  <c r="D22" i="29" a="1"/>
  <c r="D22" i="29" s="1"/>
  <c r="C22" i="29" a="1"/>
  <c r="C22" i="29" s="1"/>
  <c r="F21" i="29" a="1"/>
  <c r="F21" i="29" s="1"/>
  <c r="E21" i="29" a="1"/>
  <c r="E21" i="29" s="1"/>
  <c r="D21" i="29" a="1"/>
  <c r="D21" i="29" s="1"/>
  <c r="C21" i="29" a="1"/>
  <c r="C21" i="29" s="1"/>
  <c r="F20" i="29" a="1"/>
  <c r="F20" i="29" s="1"/>
  <c r="E20" i="29" a="1"/>
  <c r="E20" i="29" s="1"/>
  <c r="D20" i="29" a="1"/>
  <c r="D20" i="29" s="1"/>
  <c r="C20" i="29" a="1"/>
  <c r="C20" i="29" s="1"/>
  <c r="F19" i="29" a="1"/>
  <c r="F19" i="29" s="1"/>
  <c r="E19" i="29" a="1"/>
  <c r="E19" i="29" s="1"/>
  <c r="D19" i="29" a="1"/>
  <c r="D19" i="29" s="1"/>
  <c r="C19" i="29" a="1"/>
  <c r="C19" i="29" s="1"/>
  <c r="F18" i="29" a="1"/>
  <c r="F18" i="29" s="1"/>
  <c r="E18" i="29" a="1"/>
  <c r="E18" i="29" s="1"/>
  <c r="D18" i="29" a="1"/>
  <c r="D18" i="29" s="1"/>
  <c r="C18" i="29" a="1"/>
  <c r="C18" i="29" s="1"/>
  <c r="F17" i="29" a="1"/>
  <c r="F17" i="29" s="1"/>
  <c r="E17" i="29" a="1"/>
  <c r="E17" i="29" s="1"/>
  <c r="D17" i="29" a="1"/>
  <c r="D17" i="29" s="1"/>
  <c r="C17" i="29" a="1"/>
  <c r="C17" i="29" s="1"/>
  <c r="K16" i="29" a="1"/>
  <c r="K16" i="29" s="1"/>
  <c r="F16" i="29" a="1"/>
  <c r="F16" i="29" s="1"/>
  <c r="E16" i="29" a="1"/>
  <c r="E16" i="29" s="1"/>
  <c r="D16" i="29" a="1"/>
  <c r="D16" i="29" s="1"/>
  <c r="C16" i="29" a="1"/>
  <c r="C16" i="29" s="1"/>
  <c r="K15" i="29" a="1"/>
  <c r="K15" i="29" s="1"/>
  <c r="I15" i="29" a="1"/>
  <c r="I15" i="29" s="1"/>
  <c r="F15" i="29" a="1"/>
  <c r="F15" i="29" s="1"/>
  <c r="E15" i="29" a="1"/>
  <c r="E15" i="29" s="1"/>
  <c r="D15" i="29" a="1"/>
  <c r="D15" i="29" s="1"/>
  <c r="N32" i="28" a="1"/>
  <c r="N32" i="28" s="1"/>
  <c r="N35" i="28" s="1"/>
  <c r="F32" i="28" a="1"/>
  <c r="F32" i="28" s="1"/>
  <c r="E32" i="28" a="1"/>
  <c r="E32" i="28" s="1"/>
  <c r="D32" i="28"/>
  <c r="D32" i="28" a="1"/>
  <c r="C32" i="28" a="1"/>
  <c r="C32" i="28" s="1"/>
  <c r="F31" i="28" a="1"/>
  <c r="F31" i="28" s="1"/>
  <c r="E31" i="28" a="1"/>
  <c r="E31" i="28" s="1"/>
  <c r="D31" i="28"/>
  <c r="D31" i="28" a="1"/>
  <c r="C31" i="28" a="1"/>
  <c r="C31" i="28" s="1"/>
  <c r="F30" i="28" a="1"/>
  <c r="F30" i="28" s="1"/>
  <c r="E30" i="28" a="1"/>
  <c r="E30" i="28" s="1"/>
  <c r="D30" i="28"/>
  <c r="D30" i="28" a="1"/>
  <c r="C30" i="28" a="1"/>
  <c r="C30" i="28" s="1"/>
  <c r="F29" i="28" a="1"/>
  <c r="F29" i="28" s="1"/>
  <c r="E29" i="28" a="1"/>
  <c r="E29" i="28" s="1"/>
  <c r="D29" i="28"/>
  <c r="D29" i="28" a="1"/>
  <c r="C29" i="28" a="1"/>
  <c r="C29" i="28" s="1"/>
  <c r="F28" i="28" a="1"/>
  <c r="F28" i="28" s="1"/>
  <c r="E28" i="28" a="1"/>
  <c r="E28" i="28" s="1"/>
  <c r="D28" i="28"/>
  <c r="D28" i="28" a="1"/>
  <c r="C28" i="28" a="1"/>
  <c r="C28" i="28" s="1"/>
  <c r="F27" i="28" a="1"/>
  <c r="F27" i="28" s="1"/>
  <c r="E27" i="28" a="1"/>
  <c r="E27" i="28" s="1"/>
  <c r="D27" i="28"/>
  <c r="D27" i="28" a="1"/>
  <c r="C27" i="28" a="1"/>
  <c r="C27" i="28" s="1"/>
  <c r="F26" i="28" a="1"/>
  <c r="F26" i="28" s="1"/>
  <c r="E26" i="28" a="1"/>
  <c r="E26" i="28" s="1"/>
  <c r="D26" i="28"/>
  <c r="D26" i="28" a="1"/>
  <c r="C26" i="28" a="1"/>
  <c r="C26" i="28" s="1"/>
  <c r="F25" i="28" a="1"/>
  <c r="F25" i="28" s="1"/>
  <c r="E25" i="28" a="1"/>
  <c r="E25" i="28" s="1"/>
  <c r="D25" i="28"/>
  <c r="D25" i="28" a="1"/>
  <c r="C25" i="28" a="1"/>
  <c r="C25" i="28" s="1"/>
  <c r="F24" i="28" a="1"/>
  <c r="F24" i="28" s="1"/>
  <c r="E24" i="28" a="1"/>
  <c r="E24" i="28" s="1"/>
  <c r="D24" i="28"/>
  <c r="D24" i="28" a="1"/>
  <c r="C24" i="28" a="1"/>
  <c r="C24" i="28" s="1"/>
  <c r="F23" i="28" a="1"/>
  <c r="F23" i="28" s="1"/>
  <c r="E23" i="28" a="1"/>
  <c r="E23" i="28" s="1"/>
  <c r="D23" i="28"/>
  <c r="D23" i="28" a="1"/>
  <c r="C23" i="28" a="1"/>
  <c r="C23" i="28" s="1"/>
  <c r="F22" i="28" a="1"/>
  <c r="F22" i="28" s="1"/>
  <c r="E22" i="28" a="1"/>
  <c r="E22" i="28" s="1"/>
  <c r="D22" i="28" a="1"/>
  <c r="D22" i="28" s="1"/>
  <c r="C22" i="28" a="1"/>
  <c r="C22" i="28" s="1"/>
  <c r="F21" i="28" a="1"/>
  <c r="F21" i="28" s="1"/>
  <c r="E21" i="28" a="1"/>
  <c r="E21" i="28" s="1"/>
  <c r="D21" i="28" a="1"/>
  <c r="D21" i="28" s="1"/>
  <c r="C21" i="28" a="1"/>
  <c r="C21" i="28" s="1"/>
  <c r="F20" i="28" a="1"/>
  <c r="F20" i="28" s="1"/>
  <c r="E20" i="28" a="1"/>
  <c r="E20" i="28" s="1"/>
  <c r="D20" i="28" a="1"/>
  <c r="D20" i="28" s="1"/>
  <c r="C20" i="28" a="1"/>
  <c r="C20" i="28" s="1"/>
  <c r="F19" i="28" a="1"/>
  <c r="F19" i="28" s="1"/>
  <c r="E19" i="28" a="1"/>
  <c r="E19" i="28" s="1"/>
  <c r="D19" i="28" a="1"/>
  <c r="D19" i="28" s="1"/>
  <c r="C19" i="28" a="1"/>
  <c r="C19" i="28" s="1"/>
  <c r="F18" i="28" a="1"/>
  <c r="F18" i="28" s="1"/>
  <c r="E18" i="28" a="1"/>
  <c r="E18" i="28" s="1"/>
  <c r="D18" i="28" a="1"/>
  <c r="D18" i="28" s="1"/>
  <c r="C18" i="28" a="1"/>
  <c r="C18" i="28" s="1"/>
  <c r="F17" i="28" a="1"/>
  <c r="F17" i="28" s="1"/>
  <c r="E17" i="28" a="1"/>
  <c r="E17" i="28" s="1"/>
  <c r="D17" i="28" a="1"/>
  <c r="D17" i="28" s="1"/>
  <c r="C17" i="28" a="1"/>
  <c r="C17" i="28" s="1"/>
  <c r="K16" i="28" a="1"/>
  <c r="K16" i="28" s="1"/>
  <c r="F16" i="28" a="1"/>
  <c r="F16" i="28" s="1"/>
  <c r="E16" i="28" a="1"/>
  <c r="E16" i="28" s="1"/>
  <c r="D16" i="28" a="1"/>
  <c r="D16" i="28" s="1"/>
  <c r="C16" i="28" a="1"/>
  <c r="C16" i="28" s="1"/>
  <c r="K15" i="28" a="1"/>
  <c r="K15" i="28" s="1"/>
  <c r="I15" i="28" a="1"/>
  <c r="I15" i="28" s="1"/>
  <c r="F15" i="28" a="1"/>
  <c r="F15" i="28" s="1"/>
  <c r="E15" i="28" a="1"/>
  <c r="E15" i="28" s="1"/>
  <c r="D15" i="28" a="1"/>
  <c r="D15" i="28" s="1"/>
  <c r="C15" i="28" a="1"/>
  <c r="C15" i="28" s="1"/>
  <c r="N35" i="13"/>
  <c r="N32" i="13" a="1"/>
  <c r="N32" i="13" s="1"/>
  <c r="K16" i="13" a="1"/>
  <c r="K16" i="13" s="1"/>
  <c r="K15" i="13" a="1"/>
  <c r="K15" i="13" s="1"/>
  <c r="I15" i="13" a="1"/>
  <c r="I15" i="13" s="1"/>
  <c r="G45" i="9" a="1"/>
  <c r="G45" i="9" s="1"/>
  <c r="K43" i="9"/>
  <c r="J43" i="9"/>
  <c r="I43" i="9"/>
  <c r="H43" i="9"/>
  <c r="G43" i="9"/>
  <c r="I39" i="9"/>
  <c r="J39" i="9" s="1"/>
  <c r="K39" i="9" s="1"/>
  <c r="H39" i="9"/>
  <c r="H8" i="9" a="1"/>
  <c r="H8" i="9" s="1"/>
  <c r="G8" i="9" a="1"/>
  <c r="G8" i="9" s="1"/>
  <c r="E26" i="14"/>
  <c r="C10" i="7" a="1"/>
  <c r="C10" i="7" s="1"/>
  <c r="C9" i="7" a="1"/>
  <c r="C9" i="7" s="1"/>
  <c r="C8" i="7" a="1"/>
  <c r="C8" i="7" s="1"/>
  <c r="C7" i="7" a="1"/>
  <c r="C7" i="7" s="1"/>
  <c r="C6" i="7" a="1"/>
  <c r="C6" i="7" s="1"/>
  <c r="C5" i="7" a="1"/>
  <c r="C5" i="7" s="1"/>
  <c r="B6" i="7" a="1"/>
  <c r="B6" i="7" s="1"/>
  <c r="B10" i="7"/>
  <c r="B9" i="7"/>
  <c r="B8" i="7"/>
  <c r="B7" i="7"/>
  <c r="B5" i="7"/>
  <c r="J3" i="7"/>
  <c r="L3" i="7"/>
  <c r="S3" i="7"/>
  <c r="R3" i="7"/>
  <c r="Q3" i="7"/>
  <c r="K3" i="7"/>
  <c r="I3" i="7"/>
  <c r="H3" i="7"/>
  <c r="G3" i="7"/>
  <c r="F3" i="7"/>
  <c r="E3" i="7"/>
  <c r="D3" i="7"/>
  <c r="C3" i="7"/>
  <c r="B3" i="7"/>
  <c r="A3" i="7"/>
  <c r="I16" i="27"/>
  <c r="G11" i="27"/>
  <c r="G12" i="27"/>
  <c r="G10" i="27"/>
  <c r="G9" i="27"/>
  <c r="G8" i="27"/>
  <c r="G7" i="27"/>
  <c r="F55" i="27"/>
  <c r="E42" i="27"/>
  <c r="E37" i="27"/>
  <c r="E36" i="27"/>
  <c r="F12" i="27"/>
  <c r="F11" i="27"/>
  <c r="F10" i="27"/>
  <c r="F9" i="27"/>
  <c r="F8" i="27"/>
  <c r="F7" i="27"/>
  <c r="E7" i="27"/>
  <c r="E8" i="27" s="1"/>
  <c r="E9" i="27" s="1"/>
  <c r="E10" i="27" s="1"/>
  <c r="E11" i="27" s="1"/>
  <c r="E12" i="27" s="1"/>
  <c r="D7" i="27"/>
  <c r="D8" i="27" s="1"/>
  <c r="D9" i="27" s="1"/>
  <c r="D10" i="27" s="1"/>
  <c r="D11" i="27" s="1"/>
  <c r="D12" i="27" s="1"/>
  <c r="AK35" i="30" l="1"/>
  <c r="AK36" i="30" s="1"/>
  <c r="AL34" i="30" s="1"/>
  <c r="U35" i="30"/>
  <c r="U36" i="30" s="1"/>
  <c r="V34" i="30" s="1"/>
  <c r="H35" i="30"/>
  <c r="H36" i="30"/>
  <c r="I34" i="30" s="1"/>
  <c r="G14" i="30"/>
  <c r="G15" i="30" s="1"/>
  <c r="C15" i="30"/>
  <c r="H26" i="14"/>
  <c r="I19" i="14"/>
  <c r="K21" i="6"/>
  <c r="K19" i="6"/>
  <c r="K17" i="6"/>
  <c r="N17" i="6"/>
  <c r="H6" i="6"/>
  <c r="H5" i="6"/>
  <c r="M6" i="6"/>
  <c r="N5" i="6"/>
  <c r="N6" i="6" s="1"/>
  <c r="M5" i="6"/>
  <c r="K8" i="6"/>
  <c r="K6" i="6"/>
  <c r="I7" i="11" a="1"/>
  <c r="I7" i="11" s="1"/>
  <c r="J7" i="11" s="1" a="1"/>
  <c r="J7" i="11" s="1"/>
  <c r="E3" i="10"/>
  <c r="E6" i="22"/>
  <c r="E5" i="22"/>
  <c r="B6" i="22"/>
  <c r="B5" i="22"/>
  <c r="B4" i="22"/>
  <c r="E16" i="10"/>
  <c r="E25" i="3"/>
  <c r="C25" i="3"/>
  <c r="C23" i="3"/>
  <c r="B8" i="3"/>
  <c r="B12" i="3"/>
  <c r="B14" i="12"/>
  <c r="B20" i="8"/>
  <c r="B7" i="8"/>
  <c r="A21" i="4" a="1"/>
  <c r="A21" i="4" s="1"/>
  <c r="D21" i="4" a="1"/>
  <c r="D21" i="4" s="1"/>
  <c r="B33" i="5" a="1"/>
  <c r="B33" i="5" s="1"/>
  <c r="B29" i="5"/>
  <c r="B28" i="5"/>
  <c r="B27" i="5"/>
  <c r="B26" i="5"/>
  <c r="B25" i="5"/>
  <c r="B24" i="5"/>
  <c r="B23" i="5"/>
  <c r="B22" i="5"/>
  <c r="B21" i="5"/>
  <c r="E13" i="16"/>
  <c r="F10" i="16"/>
  <c r="F9" i="16"/>
  <c r="F8" i="16"/>
  <c r="F7" i="16"/>
  <c r="F6" i="16"/>
  <c r="F5" i="16"/>
  <c r="F4" i="16"/>
  <c r="E12" i="16" s="1"/>
  <c r="E10" i="16"/>
  <c r="E9" i="16"/>
  <c r="E8" i="16"/>
  <c r="E7" i="16"/>
  <c r="E6" i="16"/>
  <c r="E5" i="16"/>
  <c r="E4" i="16"/>
  <c r="K23" i="18"/>
  <c r="B31" i="15"/>
  <c r="C27" i="15"/>
  <c r="B27" i="15"/>
  <c r="B28" i="15" s="1"/>
  <c r="B22" i="15"/>
  <c r="B23" i="15" s="1"/>
  <c r="A13" i="17" a="1"/>
  <c r="C25" i="5"/>
  <c r="C29" i="5"/>
  <c r="C26" i="5"/>
  <c r="C24" i="5"/>
  <c r="C28" i="5"/>
  <c r="C23" i="5"/>
  <c r="C27" i="5"/>
  <c r="C22" i="5"/>
  <c r="C21" i="5"/>
  <c r="AL35" i="30" l="1"/>
  <c r="AL36" i="30" s="1"/>
  <c r="AM34" i="30" s="1"/>
  <c r="V35" i="30"/>
  <c r="V36" i="30" s="1"/>
  <c r="W34" i="30" s="1"/>
  <c r="I35" i="30"/>
  <c r="I36" i="30" s="1"/>
  <c r="J34" i="30" s="1"/>
  <c r="A13" i="17"/>
  <c r="B30" i="15"/>
  <c r="I26" i="14"/>
  <c r="B32" i="12"/>
  <c r="B31" i="12"/>
  <c r="B8" i="12"/>
  <c r="B10" i="12" s="1"/>
  <c r="B13" i="12" s="1"/>
  <c r="B13" i="4"/>
  <c r="C8" i="4" s="1" a="1"/>
  <c r="C8" i="4" s="1"/>
  <c r="AM35" i="30" l="1"/>
  <c r="AM36" i="30" s="1"/>
  <c r="AN34" i="30" s="1"/>
  <c r="W35" i="30"/>
  <c r="W36" i="30" s="1"/>
  <c r="X34" i="30" s="1"/>
  <c r="J35" i="30"/>
  <c r="J36" i="30" s="1"/>
  <c r="K34" i="30" s="1"/>
  <c r="B15" i="12"/>
  <c r="AN36" i="30" l="1"/>
  <c r="AO34" i="30" s="1"/>
  <c r="AN35" i="30"/>
  <c r="X35" i="30"/>
  <c r="X36" i="30"/>
  <c r="Y34" i="30" s="1"/>
  <c r="K35" i="30"/>
  <c r="K36" i="30" s="1"/>
  <c r="L34" i="30" s="1"/>
  <c r="B22" i="12"/>
  <c r="A51" i="12"/>
  <c r="AO35" i="30" l="1"/>
  <c r="AO36" i="30" s="1"/>
  <c r="AP34" i="30" s="1"/>
  <c r="Y35" i="30"/>
  <c r="Y36" i="30" s="1"/>
  <c r="Z34" i="30" s="1"/>
  <c r="L35" i="30"/>
  <c r="L36" i="30" s="1"/>
  <c r="M34" i="30" s="1"/>
  <c r="AP35" i="30" l="1"/>
  <c r="AP36" i="30" s="1"/>
  <c r="AQ34" i="30" s="1"/>
  <c r="Z36" i="30"/>
  <c r="AA34" i="30" s="1"/>
  <c r="Z35" i="30"/>
  <c r="M35" i="30"/>
  <c r="M36" i="30" s="1"/>
  <c r="N34" i="30" s="1"/>
  <c r="AQ35" i="30" l="1"/>
  <c r="AQ36" i="30" s="1"/>
  <c r="AR34" i="30" s="1"/>
  <c r="AA36" i="30"/>
  <c r="AB34" i="30" s="1"/>
  <c r="AA35" i="30"/>
  <c r="N36" i="30"/>
  <c r="O34" i="30" s="1"/>
  <c r="N35" i="30"/>
  <c r="AR35" i="30" l="1"/>
  <c r="AR36" i="30"/>
  <c r="AS34" i="30" s="1"/>
  <c r="AB35" i="30"/>
  <c r="AB36" i="30" s="1"/>
  <c r="AC34" i="30" s="1"/>
  <c r="O35" i="30"/>
  <c r="O36" i="30" s="1"/>
  <c r="P34" i="30" s="1"/>
  <c r="AS35" i="30" l="1"/>
  <c r="AS36" i="30" s="1"/>
  <c r="AT34" i="30" s="1"/>
  <c r="AC35" i="30"/>
  <c r="AC36" i="30" s="1"/>
  <c r="AD34" i="30" s="1"/>
  <c r="P35" i="30"/>
  <c r="P36" i="30" s="1"/>
  <c r="Q34" i="30" s="1"/>
  <c r="AT35" i="30" l="1"/>
  <c r="AT36" i="30" s="1"/>
  <c r="AU34" i="30" s="1"/>
  <c r="AD35" i="30"/>
  <c r="AD36" i="30" s="1"/>
  <c r="AE34" i="30" s="1"/>
  <c r="Q35" i="30"/>
  <c r="Q36" i="30"/>
  <c r="R34" i="30" s="1"/>
  <c r="AU35" i="30" l="1"/>
  <c r="AU36" i="30"/>
  <c r="AV34" i="30" s="1"/>
  <c r="AE35" i="30"/>
  <c r="AE36" i="30"/>
  <c r="AF34" i="30" s="1"/>
  <c r="R36" i="30"/>
  <c r="S34" i="30" s="1"/>
  <c r="R35" i="30"/>
  <c r="AV35" i="30" l="1"/>
  <c r="AV36" i="30"/>
  <c r="AW34" i="30" s="1"/>
  <c r="AF35" i="30"/>
  <c r="AF36" i="30" s="1"/>
  <c r="AG34" i="30" s="1"/>
  <c r="S35" i="30"/>
  <c r="S36" i="30" s="1"/>
  <c r="AW35" i="30" l="1"/>
  <c r="AW36" i="30" s="1"/>
  <c r="AX34" i="30" s="1"/>
  <c r="AG35" i="30"/>
  <c r="AG36" i="30" s="1"/>
  <c r="AH34" i="30" s="1"/>
  <c r="AX35" i="30" l="1"/>
  <c r="AX36" i="30" s="1"/>
  <c r="AY34" i="30" s="1"/>
  <c r="AH35" i="30"/>
  <c r="AH36" i="30"/>
  <c r="AI34" i="30" s="1"/>
  <c r="AY36" i="30" l="1"/>
  <c r="AZ34" i="30" s="1"/>
  <c r="AY35" i="30"/>
  <c r="AI35" i="30"/>
  <c r="AI36" i="30" s="1"/>
  <c r="AZ36" i="30" l="1"/>
  <c r="BA34" i="30" s="1"/>
  <c r="AZ35" i="30"/>
  <c r="BA36" i="30" l="1"/>
  <c r="BB34" i="30" s="1"/>
  <c r="BA35" i="30"/>
  <c r="BB36" i="30" l="1"/>
  <c r="BC34" i="30" s="1"/>
  <c r="BB35" i="30"/>
  <c r="BC35" i="30" l="1"/>
  <c r="BC36" i="30" s="1"/>
  <c r="BD34" i="30" s="1"/>
  <c r="BD36" i="30" l="1"/>
  <c r="BE34" i="30" s="1"/>
  <c r="BD35" i="30"/>
  <c r="BE35" i="30" l="1"/>
  <c r="BE36" i="30"/>
  <c r="BF34" i="30" s="1"/>
  <c r="BF35" i="30" l="1"/>
  <c r="BF36" i="30"/>
  <c r="BG34" i="30" s="1"/>
  <c r="BG36" i="30" l="1"/>
  <c r="BG35" i="3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tc={BC143844-5600-4881-BAC9-1A8FB697703B}</author>
    <author>tc={89DEC991-9153-4E75-BA35-B1B127481F78}</author>
  </authors>
  <commentList>
    <comment ref="G6" authorId="0" shapeId="0" xr:uid="{BC143844-5600-4881-BAC9-1A8FB697703B}">
      <text>
        <t xml:space="preserve">[Threaded comment]
Your version of Excel allows you to read this threaded comment; however, any edits to it will get removed if the file is opened in a newer version of Excel. Learn more: https://go.microsoft.com/fwlink/?linkid=870924
Comment:
    </t>
      </text>
    </comment>
    <comment ref="G8" authorId="1" shapeId="0" xr:uid="{89DEC991-9153-4E75-BA35-B1B127481F78}">
      <text>
        <t xml:space="preserve">[Threaded comment]
Your version of Excel allows you to read this threaded comment; however, any edits to it will get removed if the file is opened in a newer version of Excel. Learn more: https://go.microsoft.com/fwlink/?linkid=870924
Comment:
    </t>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50">
    <bk>
      <extLst>
        <ext uri="{3e2802c4-a4d2-4d8b-9148-e3be6c30e623}">
          <xlrd:rvb i="0"/>
        </ext>
      </extLst>
    </bk>
    <bk>
      <extLst>
        <ext uri="{3e2802c4-a4d2-4d8b-9148-e3be6c30e623}">
          <xlrd:rvb i="1"/>
        </ext>
      </extLst>
    </bk>
    <bk>
      <extLst>
        <ext uri="{3e2802c4-a4d2-4d8b-9148-e3be6c30e623}">
          <xlrd:rvb i="2"/>
        </ext>
      </extLst>
    </bk>
    <bk>
      <extLst>
        <ext uri="{3e2802c4-a4d2-4d8b-9148-e3be6c30e623}">
          <xlrd:rvb i="3"/>
        </ext>
      </extLst>
    </bk>
    <bk>
      <extLst>
        <ext uri="{3e2802c4-a4d2-4d8b-9148-e3be6c30e623}">
          <xlrd:rvb i="4"/>
        </ext>
      </extLst>
    </bk>
    <bk>
      <extLst>
        <ext uri="{3e2802c4-a4d2-4d8b-9148-e3be6c30e623}">
          <xlrd:rvb i="5"/>
        </ext>
      </extLst>
    </bk>
    <bk>
      <extLst>
        <ext uri="{3e2802c4-a4d2-4d8b-9148-e3be6c30e623}">
          <xlrd:rvb i="6"/>
        </ext>
      </extLst>
    </bk>
    <bk>
      <extLst>
        <ext uri="{3e2802c4-a4d2-4d8b-9148-e3be6c30e623}">
          <xlrd:rvb i="7"/>
        </ext>
      </extLst>
    </bk>
    <bk>
      <extLst>
        <ext uri="{3e2802c4-a4d2-4d8b-9148-e3be6c30e623}">
          <xlrd:rvb i="8"/>
        </ext>
      </extLst>
    </bk>
    <bk>
      <extLst>
        <ext uri="{3e2802c4-a4d2-4d8b-9148-e3be6c30e623}">
          <xlrd:rvb i="9"/>
        </ext>
      </extLst>
    </bk>
    <bk>
      <extLst>
        <ext uri="{3e2802c4-a4d2-4d8b-9148-e3be6c30e623}">
          <xlrd:rvb i="10"/>
        </ext>
      </extLst>
    </bk>
    <bk>
      <extLst>
        <ext uri="{3e2802c4-a4d2-4d8b-9148-e3be6c30e623}">
          <xlrd:rvb i="11"/>
        </ext>
      </extLst>
    </bk>
    <bk>
      <extLst>
        <ext uri="{3e2802c4-a4d2-4d8b-9148-e3be6c30e623}">
          <xlrd:rvb i="12"/>
        </ext>
      </extLst>
    </bk>
    <bk>
      <extLst>
        <ext uri="{3e2802c4-a4d2-4d8b-9148-e3be6c30e623}">
          <xlrd:rvb i="13"/>
        </ext>
      </extLst>
    </bk>
    <bk>
      <extLst>
        <ext uri="{3e2802c4-a4d2-4d8b-9148-e3be6c30e623}">
          <xlrd:rvb i="14"/>
        </ext>
      </extLst>
    </bk>
    <bk>
      <extLst>
        <ext uri="{3e2802c4-a4d2-4d8b-9148-e3be6c30e623}">
          <xlrd:rvb i="15"/>
        </ext>
      </extLst>
    </bk>
    <bk>
      <extLst>
        <ext uri="{3e2802c4-a4d2-4d8b-9148-e3be6c30e623}">
          <xlrd:rvb i="16"/>
        </ext>
      </extLst>
    </bk>
    <bk>
      <extLst>
        <ext uri="{3e2802c4-a4d2-4d8b-9148-e3be6c30e623}">
          <xlrd:rvb i="17"/>
        </ext>
      </extLst>
    </bk>
    <bk>
      <extLst>
        <ext uri="{3e2802c4-a4d2-4d8b-9148-e3be6c30e623}">
          <xlrd:rvb i="18"/>
        </ext>
      </extLst>
    </bk>
    <bk>
      <extLst>
        <ext uri="{3e2802c4-a4d2-4d8b-9148-e3be6c30e623}">
          <xlrd:rvb i="19"/>
        </ext>
      </extLst>
    </bk>
    <bk>
      <extLst>
        <ext uri="{3e2802c4-a4d2-4d8b-9148-e3be6c30e623}">
          <xlrd:rvb i="20"/>
        </ext>
      </extLst>
    </bk>
    <bk>
      <extLst>
        <ext uri="{3e2802c4-a4d2-4d8b-9148-e3be6c30e623}">
          <xlrd:rvb i="21"/>
        </ext>
      </extLst>
    </bk>
    <bk>
      <extLst>
        <ext uri="{3e2802c4-a4d2-4d8b-9148-e3be6c30e623}">
          <xlrd:rvb i="22"/>
        </ext>
      </extLst>
    </bk>
    <bk>
      <extLst>
        <ext uri="{3e2802c4-a4d2-4d8b-9148-e3be6c30e623}">
          <xlrd:rvb i="23"/>
        </ext>
      </extLst>
    </bk>
    <bk>
      <extLst>
        <ext uri="{3e2802c4-a4d2-4d8b-9148-e3be6c30e623}">
          <xlrd:rvb i="24"/>
        </ext>
      </extLst>
    </bk>
    <bk>
      <extLst>
        <ext uri="{3e2802c4-a4d2-4d8b-9148-e3be6c30e623}">
          <xlrd:rvb i="25"/>
        </ext>
      </extLst>
    </bk>
    <bk>
      <extLst>
        <ext uri="{3e2802c4-a4d2-4d8b-9148-e3be6c30e623}">
          <xlrd:rvb i="26"/>
        </ext>
      </extLst>
    </bk>
    <bk>
      <extLst>
        <ext uri="{3e2802c4-a4d2-4d8b-9148-e3be6c30e623}">
          <xlrd:rvb i="27"/>
        </ext>
      </extLst>
    </bk>
    <bk>
      <extLst>
        <ext uri="{3e2802c4-a4d2-4d8b-9148-e3be6c30e623}">
          <xlrd:rvb i="28"/>
        </ext>
      </extLst>
    </bk>
    <bk>
      <extLst>
        <ext uri="{3e2802c4-a4d2-4d8b-9148-e3be6c30e623}">
          <xlrd:rvb i="29"/>
        </ext>
      </extLst>
    </bk>
    <bk>
      <extLst>
        <ext uri="{3e2802c4-a4d2-4d8b-9148-e3be6c30e623}">
          <xlrd:rvb i="30"/>
        </ext>
      </extLst>
    </bk>
    <bk>
      <extLst>
        <ext uri="{3e2802c4-a4d2-4d8b-9148-e3be6c30e623}">
          <xlrd:rvb i="31"/>
        </ext>
      </extLst>
    </bk>
    <bk>
      <extLst>
        <ext uri="{3e2802c4-a4d2-4d8b-9148-e3be6c30e623}">
          <xlrd:rvb i="32"/>
        </ext>
      </extLst>
    </bk>
    <bk>
      <extLst>
        <ext uri="{3e2802c4-a4d2-4d8b-9148-e3be6c30e623}">
          <xlrd:rvb i="33"/>
        </ext>
      </extLst>
    </bk>
    <bk>
      <extLst>
        <ext uri="{3e2802c4-a4d2-4d8b-9148-e3be6c30e623}">
          <xlrd:rvb i="34"/>
        </ext>
      </extLst>
    </bk>
    <bk>
      <extLst>
        <ext uri="{3e2802c4-a4d2-4d8b-9148-e3be6c30e623}">
          <xlrd:rvb i="35"/>
        </ext>
      </extLst>
    </bk>
    <bk>
      <extLst>
        <ext uri="{3e2802c4-a4d2-4d8b-9148-e3be6c30e623}">
          <xlrd:rvb i="36"/>
        </ext>
      </extLst>
    </bk>
    <bk>
      <extLst>
        <ext uri="{3e2802c4-a4d2-4d8b-9148-e3be6c30e623}">
          <xlrd:rvb i="37"/>
        </ext>
      </extLst>
    </bk>
    <bk>
      <extLst>
        <ext uri="{3e2802c4-a4d2-4d8b-9148-e3be6c30e623}">
          <xlrd:rvb i="38"/>
        </ext>
      </extLst>
    </bk>
    <bk>
      <extLst>
        <ext uri="{3e2802c4-a4d2-4d8b-9148-e3be6c30e623}">
          <xlrd:rvb i="39"/>
        </ext>
      </extLst>
    </bk>
    <bk>
      <extLst>
        <ext uri="{3e2802c4-a4d2-4d8b-9148-e3be6c30e623}">
          <xlrd:rvb i="40"/>
        </ext>
      </extLst>
    </bk>
    <bk>
      <extLst>
        <ext uri="{3e2802c4-a4d2-4d8b-9148-e3be6c30e623}">
          <xlrd:rvb i="41"/>
        </ext>
      </extLst>
    </bk>
    <bk>
      <extLst>
        <ext uri="{3e2802c4-a4d2-4d8b-9148-e3be6c30e623}">
          <xlrd:rvb i="42"/>
        </ext>
      </extLst>
    </bk>
    <bk>
      <extLst>
        <ext uri="{3e2802c4-a4d2-4d8b-9148-e3be6c30e623}">
          <xlrd:rvb i="43"/>
        </ext>
      </extLst>
    </bk>
    <bk>
      <extLst>
        <ext uri="{3e2802c4-a4d2-4d8b-9148-e3be6c30e623}">
          <xlrd:rvb i="44"/>
        </ext>
      </extLst>
    </bk>
    <bk>
      <extLst>
        <ext uri="{3e2802c4-a4d2-4d8b-9148-e3be6c30e623}">
          <xlrd:rvb i="45"/>
        </ext>
      </extLst>
    </bk>
    <bk>
      <extLst>
        <ext uri="{3e2802c4-a4d2-4d8b-9148-e3be6c30e623}">
          <xlrd:rvb i="46"/>
        </ext>
      </extLst>
    </bk>
    <bk>
      <extLst>
        <ext uri="{3e2802c4-a4d2-4d8b-9148-e3be6c30e623}">
          <xlrd:rvb i="47"/>
        </ext>
      </extLst>
    </bk>
    <bk>
      <extLst>
        <ext uri="{3e2802c4-a4d2-4d8b-9148-e3be6c30e623}">
          <xlrd:rvb i="48"/>
        </ext>
      </extLst>
    </bk>
    <bk>
      <extLst>
        <ext uri="{3e2802c4-a4d2-4d8b-9148-e3be6c30e623}">
          <xlrd:rvb i="49"/>
        </ext>
      </extLst>
    </bk>
  </futureMetadata>
  <cellMetadata count="1">
    <bk>
      <rc t="1" v="0"/>
    </bk>
  </cellMetadata>
  <valueMetadata count="50">
    <bk>
      <rc t="2" v="0"/>
    </bk>
    <bk>
      <rc t="2" v="1"/>
    </bk>
    <bk>
      <rc t="2" v="2"/>
    </bk>
    <bk>
      <rc t="2" v="3"/>
    </bk>
    <bk>
      <rc t="2" v="4"/>
    </bk>
    <bk>
      <rc t="2" v="5"/>
    </bk>
    <bk>
      <rc t="2" v="6"/>
    </bk>
    <bk>
      <rc t="2" v="7"/>
    </bk>
    <bk>
      <rc t="2" v="8"/>
    </bk>
    <bk>
      <rc t="2" v="9"/>
    </bk>
    <bk>
      <rc t="2" v="10"/>
    </bk>
    <bk>
      <rc t="2" v="11"/>
    </bk>
    <bk>
      <rc t="2" v="12"/>
    </bk>
    <bk>
      <rc t="2" v="13"/>
    </bk>
    <bk>
      <rc t="2" v="14"/>
    </bk>
    <bk>
      <rc t="2" v="15"/>
    </bk>
    <bk>
      <rc t="2" v="16"/>
    </bk>
    <bk>
      <rc t="2" v="17"/>
    </bk>
    <bk>
      <rc t="2" v="18"/>
    </bk>
    <bk>
      <rc t="2" v="19"/>
    </bk>
    <bk>
      <rc t="2" v="20"/>
    </bk>
    <bk>
      <rc t="2" v="21"/>
    </bk>
    <bk>
      <rc t="2" v="22"/>
    </bk>
    <bk>
      <rc t="2" v="23"/>
    </bk>
    <bk>
      <rc t="2" v="24"/>
    </bk>
    <bk>
      <rc t="2" v="25"/>
    </bk>
    <bk>
      <rc t="2" v="26"/>
    </bk>
    <bk>
      <rc t="2" v="27"/>
    </bk>
    <bk>
      <rc t="2" v="28"/>
    </bk>
    <bk>
      <rc t="2" v="29"/>
    </bk>
    <bk>
      <rc t="2" v="30"/>
    </bk>
    <bk>
      <rc t="2" v="31"/>
    </bk>
    <bk>
      <rc t="2" v="32"/>
    </bk>
    <bk>
      <rc t="2" v="33"/>
    </bk>
    <bk>
      <rc t="2" v="34"/>
    </bk>
    <bk>
      <rc t="2" v="35"/>
    </bk>
    <bk>
      <rc t="2" v="36"/>
    </bk>
    <bk>
      <rc t="2" v="37"/>
    </bk>
    <bk>
      <rc t="2" v="38"/>
    </bk>
    <bk>
      <rc t="2" v="39"/>
    </bk>
    <bk>
      <rc t="2" v="40"/>
    </bk>
    <bk>
      <rc t="2" v="41"/>
    </bk>
    <bk>
      <rc t="2" v="42"/>
    </bk>
    <bk>
      <rc t="2" v="43"/>
    </bk>
    <bk>
      <rc t="2" v="44"/>
    </bk>
    <bk>
      <rc t="2" v="45"/>
    </bk>
    <bk>
      <rc t="2" v="46"/>
    </bk>
    <bk>
      <rc t="2" v="47"/>
    </bk>
    <bk>
      <rc t="2" v="48"/>
    </bk>
    <bk>
      <rc t="2" v="49"/>
    </bk>
  </valueMetadata>
</metadata>
</file>

<file path=xl/sharedStrings.xml><?xml version="1.0" encoding="utf-8"?>
<sst xmlns="http://schemas.openxmlformats.org/spreadsheetml/2006/main" count="1553" uniqueCount="901">
  <si>
    <t>Data Visualisation &amp; Automation using Tables in Excel</t>
  </si>
  <si>
    <t>Period</t>
  </si>
  <si>
    <t>GDP (INR Mn)</t>
  </si>
  <si>
    <t>Share in World GDP (%)</t>
  </si>
  <si>
    <t>Q1FY22</t>
  </si>
  <si>
    <t>Q2FY22</t>
  </si>
  <si>
    <t>Q3FY22</t>
  </si>
  <si>
    <t>Q4FY22</t>
  </si>
  <si>
    <t>Q1FY23</t>
  </si>
  <si>
    <t>Q2FY23</t>
  </si>
  <si>
    <t>Key Takeaways:</t>
  </si>
  <si>
    <t>1. Understand the data-type and chose the best visual.</t>
  </si>
  <si>
    <t>2. ALT + N + R is the Office 365 keyboard shortcut to insert chart.</t>
  </si>
  <si>
    <t>3. Concept of Secondary Axis - Chart Elements.</t>
  </si>
  <si>
    <t>4. Automate Charts using Excel Tables - CTRL + T / CTRL + L.</t>
  </si>
  <si>
    <t>5. Appropriate Labels &amp; Titles to a chart are must for user friendly reports.</t>
  </si>
  <si>
    <t>6. Automate Chart Titles &amp; Axis using Formula Bar Hack.</t>
  </si>
  <si>
    <t>7. How to add borders to data using keyboard shortcut CTRL + 1.</t>
  </si>
  <si>
    <t>EMI Computations, Goal Seek</t>
  </si>
  <si>
    <t>Education Loan</t>
  </si>
  <si>
    <t>Interest Rate (p.a)</t>
  </si>
  <si>
    <t>Tenure (Months)</t>
  </si>
  <si>
    <t>Equated Monthly Instalments / Hafta</t>
  </si>
  <si>
    <t>https://emicalculator.net/</t>
  </si>
  <si>
    <t>1. Understand the concept of EMI &amp; consistency of units.</t>
  </si>
  <si>
    <t>2. Learn Excel's PMT function.</t>
  </si>
  <si>
    <t>3. Perform back-calculation based on target repayment amount.</t>
  </si>
  <si>
    <t>4. Goal Seek (What IF analysis in Excel)</t>
  </si>
  <si>
    <t>5. NPER Function</t>
  </si>
  <si>
    <t>6. Concept of Flexibility over standard website calculators.</t>
  </si>
  <si>
    <t>7. Juggad / Trail Error way to get answers - logical thinking - under pressure work</t>
  </si>
  <si>
    <t>Cell Referencing ($ sign &amp; Dynamic Arrays)</t>
  </si>
  <si>
    <t>Analysis of Sector-wise GDP Allocation in India:</t>
  </si>
  <si>
    <t>Sector</t>
  </si>
  <si>
    <t>Compute % contribution</t>
  </si>
  <si>
    <t>Agriculture Sector</t>
  </si>
  <si>
    <t>Industry Sector</t>
  </si>
  <si>
    <t>Financial, real estate &amp; prof servs</t>
  </si>
  <si>
    <t>Mining &amp; quarrying</t>
  </si>
  <si>
    <t>Services Sector</t>
  </si>
  <si>
    <t>Total</t>
  </si>
  <si>
    <t>Computing Product Prices for Export Business</t>
  </si>
  <si>
    <t>IND/USD</t>
  </si>
  <si>
    <t>GBP/USD</t>
  </si>
  <si>
    <t>EUR/USD</t>
  </si>
  <si>
    <t>Sr. No.</t>
  </si>
  <si>
    <t>Part of Computer</t>
  </si>
  <si>
    <t>USD $</t>
  </si>
  <si>
    <t>INR</t>
  </si>
  <si>
    <t>GBP</t>
  </si>
  <si>
    <t>EUR</t>
  </si>
  <si>
    <t>Processor</t>
  </si>
  <si>
    <t>Motherboard</t>
  </si>
  <si>
    <t>GPU</t>
  </si>
  <si>
    <t>RAM</t>
  </si>
  <si>
    <t>SSD 1</t>
  </si>
  <si>
    <t>SSD 2</t>
  </si>
  <si>
    <t>Cabinet</t>
  </si>
  <si>
    <t>Graphics Card</t>
  </si>
  <si>
    <t>1. Understand relative &amp; absolute cell referencing in excel.</t>
  </si>
  <si>
    <t>2. F4 keyboard shortcut (use Fn + F4 key if working on modern laptop).</t>
  </si>
  <si>
    <t>3. Dot Product Matrix Multiplication &amp; Dynamic Arrays.</t>
  </si>
  <si>
    <t>4. Old method (non-office 365) CSE method - CTRL + SHFT + ENTER.</t>
  </si>
  <si>
    <t>5. Curly Bracket vs Dynamic Arrays (thin blue line).</t>
  </si>
  <si>
    <t>6. Serial Numbering using Flash Fill &amp; SEQUENCE &amp; ROW Function.</t>
  </si>
  <si>
    <t>7. #REF Errors.</t>
  </si>
  <si>
    <t>8. Show Formulas - (CTRL + ~ Keyboard Shortcuts)</t>
  </si>
  <si>
    <t>Data Cleaning &amp; Analysis</t>
  </si>
  <si>
    <t>Particulars</t>
  </si>
  <si>
    <t>Average Age?</t>
  </si>
  <si>
    <t>How many Students from Mumbai?</t>
  </si>
  <si>
    <t>Minimum Age?</t>
  </si>
  <si>
    <t>Maximum Age?</t>
  </si>
  <si>
    <t>2nd Youngest Age?</t>
  </si>
  <si>
    <t>2nd Eldest Age?</t>
  </si>
  <si>
    <t>Calculate names with a letter 'c' in them?</t>
  </si>
  <si>
    <t>Caclulate names starting with letter 'c'?</t>
  </si>
  <si>
    <t>Caclulate names ending with letter 'c'?</t>
  </si>
  <si>
    <t>Dirty Mobile Numbers</t>
  </si>
  <si>
    <t>Cleaned Numbers</t>
  </si>
  <si>
    <t>09465584195</t>
  </si>
  <si>
    <t>+919736192848</t>
  </si>
  <si>
    <t>+91 8177924769</t>
  </si>
  <si>
    <t>01254978742</t>
  </si>
  <si>
    <t>1. Better Analyst needs excel tools to clean data to perform analysis/mathematics.</t>
  </si>
  <si>
    <t>2. Textsplit &amp; Text to columns utility.</t>
  </si>
  <si>
    <t>3. Average Function &amp; Trick to learn any function in Excel from support page.</t>
  </si>
  <si>
    <t>4. MIN, MAX, SMALL, LARGE Functions.</t>
  </si>
  <si>
    <t>5. Countif with text inputs - double quotes.</t>
  </si>
  <si>
    <t>6. Wildcards in Excel - Astersik (*).</t>
  </si>
  <si>
    <t>7. Right Function.</t>
  </si>
  <si>
    <t>8. Keyboard shortcuts - CTRL + D, Drag with mouse, Copy Paste.</t>
  </si>
  <si>
    <t>Dateing Tips</t>
  </si>
  <si>
    <t>Type 1st Jan 1900</t>
  </si>
  <si>
    <t>US Format - MM-DD-YY</t>
  </si>
  <si>
    <t>Party Date 1</t>
  </si>
  <si>
    <t>Type 30th Jan 1900</t>
  </si>
  <si>
    <t>Party Date 2</t>
  </si>
  <si>
    <t>Type today's date</t>
  </si>
  <si>
    <t>Average Date convenient to all</t>
  </si>
  <si>
    <t>Type your birthdate</t>
  </si>
  <si>
    <t>Postponed by "2" days</t>
  </si>
  <si>
    <t>Keyboard Shortcuts</t>
  </si>
  <si>
    <t>CTRL + SHFT + 1</t>
  </si>
  <si>
    <t>Converts to Number Format.</t>
  </si>
  <si>
    <t>CTRL + SHFT + 3</t>
  </si>
  <si>
    <t>Converts to Date Format.</t>
  </si>
  <si>
    <t>Giacomo Casanova's Birthdate</t>
  </si>
  <si>
    <t>02-04-1725</t>
  </si>
  <si>
    <t>Mr. Robot resigned form his job at Hooli Ltd on 17th August, with 2 months notice period. Calculate last working day.</t>
  </si>
  <si>
    <t>Apple pays its employees salary on the 1st day of the next month. Assuming today is "25th December 2022".</t>
  </si>
  <si>
    <t>a. compute the next salary day.</t>
  </si>
  <si>
    <t>b. compute the previous passed/lapsed salary day.</t>
  </si>
  <si>
    <t>1. Date is nothing but just a number, it is A - B concept. Number &amp;  Text is the only data type here (No tupules, intergers, strings etc.).</t>
  </si>
  <si>
    <t>2. Date format (US or UK) is based on control panel settings.</t>
  </si>
  <si>
    <t>3. ISNUMBER().</t>
  </si>
  <si>
    <t>4. Text to columns to convert US/UK format.</t>
  </si>
  <si>
    <t>5. Value error.</t>
  </si>
  <si>
    <t>6. 1st Jan 1900 is happy birthday of excel (computation engine starts that day).</t>
  </si>
  <si>
    <t>7. EOMONTH &amp; EDATE</t>
  </si>
  <si>
    <t>Lookups (VLOOKUP &amp; XLOOKUP)</t>
  </si>
  <si>
    <t>Country Name</t>
  </si>
  <si>
    <t>Region</t>
  </si>
  <si>
    <t>Population</t>
  </si>
  <si>
    <t>Country Code</t>
  </si>
  <si>
    <t>China</t>
  </si>
  <si>
    <t>AP</t>
  </si>
  <si>
    <t>Vietnam</t>
  </si>
  <si>
    <t>TYB41</t>
  </si>
  <si>
    <t>India</t>
  </si>
  <si>
    <t>DAE25</t>
  </si>
  <si>
    <t>Russia</t>
  </si>
  <si>
    <t>Japan</t>
  </si>
  <si>
    <t>UXD14</t>
  </si>
  <si>
    <t>United Kingdom</t>
  </si>
  <si>
    <t>Bangladesh</t>
  </si>
  <si>
    <t>OVD94</t>
  </si>
  <si>
    <t>EMEA</t>
  </si>
  <si>
    <t>France</t>
  </si>
  <si>
    <t>IMD41</t>
  </si>
  <si>
    <t>LA</t>
  </si>
  <si>
    <t>Mexico</t>
  </si>
  <si>
    <t>SKB23</t>
  </si>
  <si>
    <t>Pakistan</t>
  </si>
  <si>
    <t>HXK14</t>
  </si>
  <si>
    <t>Germany</t>
  </si>
  <si>
    <t>ATQ54</t>
  </si>
  <si>
    <t>Thailand</t>
  </si>
  <si>
    <t>LUY53</t>
  </si>
  <si>
    <t>Brazil</t>
  </si>
  <si>
    <t>FEH73</t>
  </si>
  <si>
    <t>Venezuela</t>
  </si>
  <si>
    <t>KCB82</t>
  </si>
  <si>
    <t>Turkey</t>
  </si>
  <si>
    <t>RRW65</t>
  </si>
  <si>
    <t>Peru</t>
  </si>
  <si>
    <t>OTY76</t>
  </si>
  <si>
    <t>Dr Congo</t>
  </si>
  <si>
    <t>KKH71</t>
  </si>
  <si>
    <t>Ethiopia</t>
  </si>
  <si>
    <t>CYT45</t>
  </si>
  <si>
    <t>Colombia</t>
  </si>
  <si>
    <t>VNJ32</t>
  </si>
  <si>
    <t>LPQ62</t>
  </si>
  <si>
    <t>Nigeria</t>
  </si>
  <si>
    <t>GUU38</t>
  </si>
  <si>
    <t>Chile</t>
  </si>
  <si>
    <t>QHZ48</t>
  </si>
  <si>
    <t xml:space="preserve">India  </t>
  </si>
  <si>
    <t>NNW41</t>
  </si>
  <si>
    <t>Argentina</t>
  </si>
  <si>
    <t>AVK74</t>
  </si>
  <si>
    <t>TLJ48</t>
  </si>
  <si>
    <t>Egypt</t>
  </si>
  <si>
    <t>QLT94</t>
  </si>
  <si>
    <t>Guatemala</t>
  </si>
  <si>
    <t>URW66</t>
  </si>
  <si>
    <t>Philippines</t>
  </si>
  <si>
    <t>PND47</t>
  </si>
  <si>
    <t>Bolivia</t>
  </si>
  <si>
    <t>PEM12</t>
  </si>
  <si>
    <t>Iran</t>
  </si>
  <si>
    <t>ALO49</t>
  </si>
  <si>
    <t>Indonesia</t>
  </si>
  <si>
    <t>MUV54</t>
  </si>
  <si>
    <t>KHK48</t>
  </si>
  <si>
    <t>Ecuador</t>
  </si>
  <si>
    <t>CJO23</t>
  </si>
  <si>
    <t>1. The concept of Lookups in Excel.</t>
  </si>
  <si>
    <t>2. VLOOKUP and its limitations.</t>
  </si>
  <si>
    <t>3. XLOOKUP with Dynamic Arrays.</t>
  </si>
  <si>
    <t>4. Conditional Formatting - Duplicates.</t>
  </si>
  <si>
    <t>5. Lookup function always take the first value.</t>
  </si>
  <si>
    <t>6. Wildcard usecases for lookups.</t>
  </si>
  <si>
    <t>7. #N/A errors.</t>
  </si>
  <si>
    <t>8. Comments &amp; Notes in excel - the better analyst way.</t>
  </si>
  <si>
    <t>Find &amp; Replace</t>
  </si>
  <si>
    <t>Bank "R"</t>
  </si>
  <si>
    <t>INR Mn Sales</t>
  </si>
  <si>
    <t>Central Line Branch</t>
  </si>
  <si>
    <t>Western Line Branch</t>
  </si>
  <si>
    <t>Harbour Line Branch</t>
  </si>
  <si>
    <t>Please write down total sales here&gt;&gt;</t>
  </si>
  <si>
    <t>Gross Income</t>
  </si>
  <si>
    <t>Cost of Gold Sold</t>
  </si>
  <si>
    <t>General Expenses</t>
  </si>
  <si>
    <t>Admin Expense</t>
  </si>
  <si>
    <t>Selling Expenses</t>
  </si>
  <si>
    <t>Interest</t>
  </si>
  <si>
    <t>Depreciation</t>
  </si>
  <si>
    <t>Tax</t>
  </si>
  <si>
    <t>Net Profit</t>
  </si>
  <si>
    <t>1. CTRL + F Keyboard shortcut to open "Find" Dialogue Box.</t>
  </si>
  <si>
    <t>2. CTRL + H Keyboard shortcut to open "Find  &amp; Replace" Dialogue Box.</t>
  </si>
  <si>
    <t>3. Understand "Look In" concept.</t>
  </si>
  <si>
    <t>4. Exploring Find &amp; Replace options (Theory).</t>
  </si>
  <si>
    <t>5. Concept of Entire Cells content match.</t>
  </si>
  <si>
    <t>6. Concept of Reaching out to pre-defined help - via ?.</t>
  </si>
  <si>
    <t>7. Concept of Paste Special Dialogue Box (CTRL + ALT + V or ALT + E + S)</t>
  </si>
  <si>
    <t>Lookup &amp; Fetch Multiple Values</t>
  </si>
  <si>
    <t>Machine Friendly</t>
  </si>
  <si>
    <t>Report Friendly</t>
  </si>
  <si>
    <t>City Name</t>
  </si>
  <si>
    <t>Colleges</t>
  </si>
  <si>
    <t>Mumbai</t>
  </si>
  <si>
    <t>SP Jain</t>
  </si>
  <si>
    <t>SP Jain, JBIMS, HR, TISS</t>
  </si>
  <si>
    <t>Delhi</t>
  </si>
  <si>
    <t>FMS</t>
  </si>
  <si>
    <t>FMS, AIIMS, IIT D</t>
  </si>
  <si>
    <t>Bangalore</t>
  </si>
  <si>
    <t>IIM B</t>
  </si>
  <si>
    <t>JBIMS</t>
  </si>
  <si>
    <t>Kolkata</t>
  </si>
  <si>
    <t>XLRI, Xavier</t>
  </si>
  <si>
    <t>HR</t>
  </si>
  <si>
    <t>Ahmedabad</t>
  </si>
  <si>
    <t>IIM A</t>
  </si>
  <si>
    <t>XLRI</t>
  </si>
  <si>
    <t>Lucknow</t>
  </si>
  <si>
    <t>IIM L</t>
  </si>
  <si>
    <t>TISS</t>
  </si>
  <si>
    <t>Xavier</t>
  </si>
  <si>
    <t>AIIMS</t>
  </si>
  <si>
    <t>IIT D</t>
  </si>
  <si>
    <t>2. Desi Juggadu way of Traditional Filter and Copy Paste</t>
  </si>
  <si>
    <t>3. FILTER Function</t>
  </si>
  <si>
    <t>4. TEXTJOIN Function</t>
  </si>
  <si>
    <t>5. Nesting Functions</t>
  </si>
  <si>
    <t>6. Merge &amp; Centre vs Centre Across Selection</t>
  </si>
  <si>
    <t>7. Limitations of the traditional Lookup functions</t>
  </si>
  <si>
    <t>DataTransform - SUBSTITUTE &amp; CHAR + UNICODE</t>
  </si>
  <si>
    <t>Information abounds, but the real value comes from accurate
interpretation and analysis. Whether you’re a technology executive,
architect, investor or provider, Gartner gives you a comprehensive
view of established and emerging markets so you can understand
today’s landscape and plan for tomorrow’s.</t>
  </si>
  <si>
    <r>
      <t xml:space="preserve">Source: </t>
    </r>
    <r>
      <rPr>
        <i/>
        <u/>
        <sz val="10"/>
        <color rgb="FF0070C0"/>
        <rFont val="Arial"/>
        <family val="2"/>
      </rPr>
      <t>https://www.gartner.com/imagesrv/research/methodologies/methodologies_brochure_14.pdf</t>
    </r>
  </si>
  <si>
    <t>Diya</t>
  </si>
  <si>
    <t>1. Concept of Static vs Dynamic solution.</t>
  </si>
  <si>
    <t>2. SUBSTITUTE function.</t>
  </si>
  <si>
    <t>3. CHAR and UNICODE and ASCII (American Standard Code for Information Interchange).</t>
  </si>
  <si>
    <t>4. Find and Replace.</t>
  </si>
  <si>
    <t>5. CTRL + J hack.</t>
  </si>
  <si>
    <t>6. Defining problem statement with logical approach.</t>
  </si>
  <si>
    <t>7. Wrap Text.</t>
  </si>
  <si>
    <t>8. Non-breaking space (code: 160).</t>
  </si>
  <si>
    <t>Pivots, Countifs, # &amp; Flash Fill</t>
  </si>
  <si>
    <t>Name</t>
  </si>
  <si>
    <t>Email</t>
  </si>
  <si>
    <t>Designation</t>
  </si>
  <si>
    <t>Department</t>
  </si>
  <si>
    <t>Waltraud Nesler</t>
  </si>
  <si>
    <t>Waltraud.Nesler@hooli.com</t>
  </si>
  <si>
    <t>Associate</t>
  </si>
  <si>
    <t>Sales &amp; Marketing</t>
  </si>
  <si>
    <t>Aurelia Divis</t>
  </si>
  <si>
    <t>Aurelia.Divis@hooli.com</t>
  </si>
  <si>
    <t>Intern</t>
  </si>
  <si>
    <t>Finance</t>
  </si>
  <si>
    <t>Lekisha Bledsoe</t>
  </si>
  <si>
    <t>Lekisha.Bledsoe@hooli.com</t>
  </si>
  <si>
    <t>Manager</t>
  </si>
  <si>
    <t>Luanna Devinney</t>
  </si>
  <si>
    <t>Partner</t>
  </si>
  <si>
    <t>Logan Branscum</t>
  </si>
  <si>
    <t>Director</t>
  </si>
  <si>
    <t>Alexandria Talbot</t>
  </si>
  <si>
    <t>Assistant Vice President</t>
  </si>
  <si>
    <t>Judi Roundtree</t>
  </si>
  <si>
    <t>Liane Stemple</t>
  </si>
  <si>
    <t>Chana Mcclaran</t>
  </si>
  <si>
    <t>Vice President</t>
  </si>
  <si>
    <t>Alda Whatley</t>
  </si>
  <si>
    <t>Ocie Luman</t>
  </si>
  <si>
    <t>Marquerite Hannold</t>
  </si>
  <si>
    <t>Mauricio Fleitas</t>
  </si>
  <si>
    <t>Associate Director</t>
  </si>
  <si>
    <t>Mohamed Steve</t>
  </si>
  <si>
    <t>Magdalene Lasso</t>
  </si>
  <si>
    <t>Jannie Rickel</t>
  </si>
  <si>
    <t>Josephine Breton</t>
  </si>
  <si>
    <t>Cammie Hafford</t>
  </si>
  <si>
    <t>Hoa Perdomo</t>
  </si>
  <si>
    <t>Augusta Schaible</t>
  </si>
  <si>
    <t>Nakia Athens</t>
  </si>
  <si>
    <t>Delores Senn</t>
  </si>
  <si>
    <t>Karlene Thorn</t>
  </si>
  <si>
    <t>Genna Kleckner</t>
  </si>
  <si>
    <t>Neoma Shaul</t>
  </si>
  <si>
    <t>Chun Golightly</t>
  </si>
  <si>
    <t>Keeley Honore</t>
  </si>
  <si>
    <t>India Ortiz</t>
  </si>
  <si>
    <t>Lovie Hertzler</t>
  </si>
  <si>
    <t>Tijuana Basden</t>
  </si>
  <si>
    <t>Jesusa Amerine</t>
  </si>
  <si>
    <t>Analyst</t>
  </si>
  <si>
    <t>Angelo Lucius</t>
  </si>
  <si>
    <t>Tamara Hurdle</t>
  </si>
  <si>
    <t>Billye Ellingsworth</t>
  </si>
  <si>
    <t>Matthew Hume</t>
  </si>
  <si>
    <t>Robert Swope</t>
  </si>
  <si>
    <t>Shaunte Ankrom</t>
  </si>
  <si>
    <t>Jamison Limones</t>
  </si>
  <si>
    <t>Marquetta Dubose</t>
  </si>
  <si>
    <t>Edna Valtierra</t>
  </si>
  <si>
    <t>Janee Hogg</t>
  </si>
  <si>
    <t>Tamala Porterfield</t>
  </si>
  <si>
    <t>Caryn Sowell</t>
  </si>
  <si>
    <t>Jerica Schwein</t>
  </si>
  <si>
    <t>Ronny Mayoral</t>
  </si>
  <si>
    <t>Retha Pruett</t>
  </si>
  <si>
    <t>Caitlin Lamirande</t>
  </si>
  <si>
    <t>Skye Kowalski</t>
  </si>
  <si>
    <t>Danyell Stapp</t>
  </si>
  <si>
    <t>Kindra Didion</t>
  </si>
  <si>
    <t>1. Filter shortcut - CTRL + SHFT + L.</t>
  </si>
  <si>
    <t>2. E the magical key.</t>
  </si>
  <si>
    <t>3. Remove Duplicates &amp; Countif.</t>
  </si>
  <si>
    <t>4. UNIQUE &amp; Static Dynamic Approach.</t>
  </si>
  <si>
    <t>5. Countifs with a SPILL and # key.</t>
  </si>
  <si>
    <t>6. Data Validation List.</t>
  </si>
  <si>
    <t>7. Pivot Tables.</t>
  </si>
  <si>
    <t>8. Tables for Automation.</t>
  </si>
  <si>
    <t>9. Flash Fill - CTRL + E.</t>
  </si>
  <si>
    <t>10. TV Series Recommendation - Silicon Valley</t>
  </si>
  <si>
    <t>Ethos of Business Modelling</t>
  </si>
  <si>
    <t>For Chinchat Pvt. Ltd. (Particulars)</t>
  </si>
  <si>
    <t>Amount INR</t>
  </si>
  <si>
    <t>Sales/Revenue</t>
  </si>
  <si>
    <t xml:space="preserve">Cost of Goods Sold (COGS) incl. D&amp;A	</t>
  </si>
  <si>
    <t xml:space="preserve">Gross Income	</t>
  </si>
  <si>
    <t xml:space="preserve">SG&amp;A Expense	</t>
  </si>
  <si>
    <t>EBIT</t>
  </si>
  <si>
    <t>Non-Operating Interest Income</t>
  </si>
  <si>
    <t>Non Operating Expense</t>
  </si>
  <si>
    <t>Pretax Income</t>
  </si>
  <si>
    <t>Income Tax</t>
  </si>
  <si>
    <t>Assumptions</t>
  </si>
  <si>
    <t>Tax Rate</t>
  </si>
  <si>
    <t>Put Sensitivity Tax Rates here (% inputs)</t>
  </si>
  <si>
    <t>Exahustive List of Resources for Financial Modelling</t>
  </si>
  <si>
    <t>https://www.linkedin.com/posts/amtechinmaya_financialmodelling-decentralised-chinmayaamteexcel-activity-6948872772412395520-0nvz?utm_source=linkedin_share&amp;utm_medium=member_desktop_web</t>
  </si>
  <si>
    <t>Certification for Financial Modelling</t>
  </si>
  <si>
    <t>https://www.fast-standard.org/</t>
  </si>
  <si>
    <t>1. Logical thought process while working on modelling.</t>
  </si>
  <si>
    <t>2. Multiple approaches/solutions to the same problem.</t>
  </si>
  <si>
    <t>3. Concept of Sensitivity Analysis &amp; Data Tables.</t>
  </si>
  <si>
    <t>4. Custom Formatting.</t>
  </si>
  <si>
    <t>5. Understanding of Business Concepts like Laws, Corporate Finance etc.</t>
  </si>
  <si>
    <t>6. Why assumptions are listed separately?</t>
  </si>
  <si>
    <t>7. Hardcoding vs Model approach of input &amp; output.</t>
  </si>
  <si>
    <t>8. Resources / Guidance to make a career in Financial Modelling.</t>
  </si>
  <si>
    <t>3D Lookups using the SUMPRODUCT Function</t>
  </si>
  <si>
    <t>City</t>
  </si>
  <si>
    <t>New York</t>
  </si>
  <si>
    <t>Tokyo</t>
  </si>
  <si>
    <t>Singapore</t>
  </si>
  <si>
    <t>Dept/Year</t>
  </si>
  <si>
    <t>FY18</t>
  </si>
  <si>
    <t>FY19</t>
  </si>
  <si>
    <t>FY20</t>
  </si>
  <si>
    <t>Admin</t>
  </si>
  <si>
    <t>Operations</t>
  </si>
  <si>
    <t>Sales</t>
  </si>
  <si>
    <t>Management</t>
  </si>
  <si>
    <t>Dept</t>
  </si>
  <si>
    <t>Year</t>
  </si>
  <si>
    <t>1. Brain Storm Concept of Lookup in Excel.</t>
  </si>
  <si>
    <t>2. SUMPRODUCT &amp; ARRAY Multiplication.</t>
  </si>
  <si>
    <t>3. Exhaustive understanding on the $ sign in excel, best practise example.</t>
  </si>
  <si>
    <t>4. Concept of * i.e AND Logic in Excel.</t>
  </si>
  <si>
    <t>5. Index Match, Xlookup with "&amp;".</t>
  </si>
  <si>
    <t>6. Limitations of SUMIFS.</t>
  </si>
  <si>
    <t>7. Formula pasting &amp; not all (Paste Special Dialogue Box).</t>
  </si>
  <si>
    <t>8. Concept of Pivot/Unpivot in Power Query.</t>
  </si>
  <si>
    <t>Approximate &amp; Bucketing with Lookups</t>
  </si>
  <si>
    <t>Employee Name</t>
  </si>
  <si>
    <t>Days Spent</t>
  </si>
  <si>
    <t>Bobby</t>
  </si>
  <si>
    <t>Michael</t>
  </si>
  <si>
    <t>Mayuri</t>
  </si>
  <si>
    <t>Vinit</t>
  </si>
  <si>
    <t>Suresh</t>
  </si>
  <si>
    <t>Vipul</t>
  </si>
  <si>
    <t>Raj</t>
  </si>
  <si>
    <t>Virat</t>
  </si>
  <si>
    <t>Lower Range</t>
  </si>
  <si>
    <t>Upper Range</t>
  </si>
  <si>
    <t>Grade</t>
  </si>
  <si>
    <t>Aditya</t>
  </si>
  <si>
    <t>Less than 6 Months</t>
  </si>
  <si>
    <t>Priya</t>
  </si>
  <si>
    <t>6 Months to 1 Year</t>
  </si>
  <si>
    <t>Sakshi</t>
  </si>
  <si>
    <t>1 Year to 2 Years</t>
  </si>
  <si>
    <t>Gauri</t>
  </si>
  <si>
    <t>2 Years and More</t>
  </si>
  <si>
    <t>Apsara</t>
  </si>
  <si>
    <t>Liela</t>
  </si>
  <si>
    <t>Chinmay</t>
  </si>
  <si>
    <t>Account Number</t>
  </si>
  <si>
    <t>Balance</t>
  </si>
  <si>
    <t>100910023</t>
  </si>
  <si>
    <t>100910065</t>
  </si>
  <si>
    <t>108424100</t>
  </si>
  <si>
    <t>140052005</t>
  </si>
  <si>
    <t>1. Understanding the TRUE, FALSE argument in VLOOKUP.</t>
  </si>
  <si>
    <t>2. Approximate looks can only be performed when lookup value is a number. It's not relevant for text.</t>
  </si>
  <si>
    <t>3. Dynamic Arrays &amp; Xlookup.</t>
  </si>
  <si>
    <t>4. Why nested IFs is not a good idea?</t>
  </si>
  <si>
    <t>5. Text vs Numbers input (ISNUMBER).</t>
  </si>
  <si>
    <t>6. Paste Special - Maths operations.</t>
  </si>
  <si>
    <t>7. Text To Columns to convert numbers to text.</t>
  </si>
  <si>
    <t>8. Concept of equality in excel (TRUE/FALSE)</t>
  </si>
  <si>
    <t>9. How to be a good observer to investigate the issues?</t>
  </si>
  <si>
    <t>NPV &amp; IRR and Data Validations</t>
  </si>
  <si>
    <t>A project "Entebbe" generates following cashflows:</t>
  </si>
  <si>
    <t>Discount Rate</t>
  </si>
  <si>
    <t>Years&gt;&gt;</t>
  </si>
  <si>
    <t>NPV</t>
  </si>
  <si>
    <t>Cashflows</t>
  </si>
  <si>
    <t>IRR</t>
  </si>
  <si>
    <t>A project "Finale" generates following cashflows:</t>
  </si>
  <si>
    <t>Workings:</t>
  </si>
  <si>
    <t>Discount rates for this Quarter from Experts</t>
  </si>
  <si>
    <t>Interest Rate &gt;&gt;</t>
  </si>
  <si>
    <r>
      <t xml:space="preserve">Net </t>
    </r>
    <r>
      <rPr>
        <b/>
        <sz val="10"/>
        <color theme="1"/>
        <rFont val="Arial"/>
        <family val="2"/>
      </rPr>
      <t>Future</t>
    </r>
    <r>
      <rPr>
        <sz val="10"/>
        <color theme="1"/>
        <rFont val="Arial"/>
        <family val="2"/>
      </rPr>
      <t xml:space="preserve"> Profit</t>
    </r>
  </si>
  <si>
    <r>
      <t xml:space="preserve">Net </t>
    </r>
    <r>
      <rPr>
        <b/>
        <sz val="10"/>
        <color theme="1"/>
        <rFont val="Arial"/>
        <family val="2"/>
      </rPr>
      <t>Present</t>
    </r>
    <r>
      <rPr>
        <sz val="10"/>
        <color theme="1"/>
        <rFont val="Arial"/>
        <family val="2"/>
      </rPr>
      <t xml:space="preserve"> Profit</t>
    </r>
  </si>
  <si>
    <t>1. Data Validation List in Excel.</t>
  </si>
  <si>
    <t>2. NPV.</t>
  </si>
  <si>
    <t>3. IRR.</t>
  </si>
  <si>
    <t>4. Concept of Named Range.</t>
  </si>
  <si>
    <t>5. Financial Maths &amp; Project Management decision making.</t>
  </si>
  <si>
    <t>6. Keyboard shortcuts from formatting perspective.</t>
  </si>
  <si>
    <t>7. Dynamic Data Validation Lists using INDIRECT and Named Ranges.</t>
  </si>
  <si>
    <t>Case Study - Friends Hotel Bill Split - using PQ</t>
  </si>
  <si>
    <t>Date</t>
  </si>
  <si>
    <t>Friends</t>
  </si>
  <si>
    <t>Total Hotel Bill</t>
  </si>
  <si>
    <t>Per head Contri</t>
  </si>
  <si>
    <t>Gauri, Niraj, Sanjay, Sakshi</t>
  </si>
  <si>
    <t>Chinmaya, Priya, Rupa, Nitin</t>
  </si>
  <si>
    <t>Priya, Anshita, Ekta</t>
  </si>
  <si>
    <t>Anirudha, Rahul, Jeetu, Chinmaya</t>
  </si>
  <si>
    <t>Rishabh, Vanshika, Abhishek</t>
  </si>
  <si>
    <t>Tanya, Shiwani, Meharsh, Sanjay, Chinmaya</t>
  </si>
  <si>
    <t>Priya, Ekta, Vartika</t>
  </si>
  <si>
    <t>1. Logical Thinking.</t>
  </si>
  <si>
    <t>2. LEN Function.</t>
  </si>
  <si>
    <t>3. Substitute Function.</t>
  </si>
  <si>
    <t>4. Power Query - Data Transformation</t>
  </si>
  <si>
    <t>5. Data Analysis</t>
  </si>
  <si>
    <t>6. Static vs Manual Solution (Find &amp; Replace vs Substitute)</t>
  </si>
  <si>
    <t>Power Query &amp; Get Data</t>
  </si>
  <si>
    <t>Extract Data from this link&gt;&gt;</t>
  </si>
  <si>
    <t>https://www.worldometers.info/world-population/population-by-country/</t>
  </si>
  <si>
    <r>
      <t xml:space="preserve">Understand the Stock history function in Excel, please note </t>
    </r>
    <r>
      <rPr>
        <b/>
        <sz val="10"/>
        <color theme="1"/>
        <rFont val="Arial"/>
        <family val="2"/>
      </rPr>
      <t>if you don't have paid subscription</t>
    </r>
    <r>
      <rPr>
        <sz val="10"/>
        <color theme="1"/>
        <rFont val="Arial"/>
        <family val="2"/>
      </rPr>
      <t>, it will be shown as #BLOCKED!</t>
    </r>
  </si>
  <si>
    <t>Stock</t>
  </si>
  <si>
    <t>USD/INR</t>
  </si>
  <si>
    <t>Start Date</t>
  </si>
  <si>
    <t>End Date</t>
  </si>
  <si>
    <t>Interval</t>
  </si>
  <si>
    <t>NIFTY 50 Stock Analysis to under RANKIF Logic and Dashboarding</t>
  </si>
  <si>
    <t>Market Cap (Rs bn as of 23rd Jun)</t>
  </si>
  <si>
    <t>Rank based on Market Cap</t>
  </si>
  <si>
    <t>ADANI ENTERPRISES</t>
  </si>
  <si>
    <t>MISCELLANEOUS</t>
  </si>
  <si>
    <t>ADANI PORTS &amp; SEZ</t>
  </si>
  <si>
    <t>APOLLO HOSPITALS</t>
  </si>
  <si>
    <t>ASIAN PAINTS</t>
  </si>
  <si>
    <t>PAINTS</t>
  </si>
  <si>
    <t>AXIS BANK</t>
  </si>
  <si>
    <t>BANKING</t>
  </si>
  <si>
    <t>BAJAJ AUTO</t>
  </si>
  <si>
    <t>AUTOMOBILES</t>
  </si>
  <si>
    <t>BAJAJ FINANCE</t>
  </si>
  <si>
    <t>FINANCE</t>
  </si>
  <si>
    <t>BAJAJ FINSERV</t>
  </si>
  <si>
    <t>Mini - Dashboard</t>
  </si>
  <si>
    <t>BHARTI AIRTEL</t>
  </si>
  <si>
    <t>TELECOM</t>
  </si>
  <si>
    <t>BPCL</t>
  </si>
  <si>
    <t>ENERGY</t>
  </si>
  <si>
    <t>Overall</t>
  </si>
  <si>
    <t>Company</t>
  </si>
  <si>
    <t>Market Cap</t>
  </si>
  <si>
    <t>CIPLA</t>
  </si>
  <si>
    <t>PHARMACEUTICALS</t>
  </si>
  <si>
    <t>Company with highest market cap</t>
  </si>
  <si>
    <t>COAL INDIA</t>
  </si>
  <si>
    <t>MINING</t>
  </si>
  <si>
    <t>Company with Lowest market cap</t>
  </si>
  <si>
    <t>DIVIS LABORATORIES</t>
  </si>
  <si>
    <t>DR. REDDYS LAB</t>
  </si>
  <si>
    <t>Sector-wise Dropdown here</t>
  </si>
  <si>
    <t>EICHER MOTORS</t>
  </si>
  <si>
    <t>GRASIM</t>
  </si>
  <si>
    <t>TEXTILES</t>
  </si>
  <si>
    <t>HCL TECHNOLOGIES</t>
  </si>
  <si>
    <t>SOFTWARE</t>
  </si>
  <si>
    <t>HDFC</t>
  </si>
  <si>
    <t>HDFC BANK</t>
  </si>
  <si>
    <t>HDFC LIFE INSURANCE</t>
  </si>
  <si>
    <t>INSURANCE</t>
  </si>
  <si>
    <t>HERO MOTOCORP</t>
  </si>
  <si>
    <t>HINDALCO</t>
  </si>
  <si>
    <t>ALUMINIUM</t>
  </si>
  <si>
    <t>HUL</t>
  </si>
  <si>
    <t>FMCG</t>
  </si>
  <si>
    <t>ICICI BANK</t>
  </si>
  <si>
    <t>INDUSIND BANK</t>
  </si>
  <si>
    <t>INFOSYS</t>
  </si>
  <si>
    <t>IOC</t>
  </si>
  <si>
    <t>ITC</t>
  </si>
  <si>
    <t>FOOD &amp; TOBACCO</t>
  </si>
  <si>
    <t>JSW STEEL</t>
  </si>
  <si>
    <t>STEEL</t>
  </si>
  <si>
    <t>KOTAK MAHINDRA BANK</t>
  </si>
  <si>
    <t>L&amp;T</t>
  </si>
  <si>
    <t>ENGINEERING</t>
  </si>
  <si>
    <t>M&amp;M</t>
  </si>
  <si>
    <t>MARUTI SUZUKI</t>
  </si>
  <si>
    <t>NESTLE</t>
  </si>
  <si>
    <t>NTPC</t>
  </si>
  <si>
    <t>POWER</t>
  </si>
  <si>
    <t>ONGC</t>
  </si>
  <si>
    <t>POWER GRID</t>
  </si>
  <si>
    <t>RELIANCE IND.</t>
  </si>
  <si>
    <t>SBI</t>
  </si>
  <si>
    <t>SBI LIFE INSURANCE</t>
  </si>
  <si>
    <t>SUN PHARMA</t>
  </si>
  <si>
    <t>TATA CONSUMER</t>
  </si>
  <si>
    <t>TATA MOTORS</t>
  </si>
  <si>
    <t>TATA STEEL</t>
  </si>
  <si>
    <t>TCS</t>
  </si>
  <si>
    <t>TECH MAHINDRA</t>
  </si>
  <si>
    <t>TITAN</t>
  </si>
  <si>
    <t>RETAILING</t>
  </si>
  <si>
    <t>ULTRATECH CEMENT</t>
  </si>
  <si>
    <t>CEMENT</t>
  </si>
  <si>
    <t>UPL</t>
  </si>
  <si>
    <t>CHEMICALS</t>
  </si>
  <si>
    <t>WIPRO</t>
  </si>
  <si>
    <t>1. Understand joint application of MIN MAX &amp; Lookups, data validations.</t>
  </si>
  <si>
    <t>2. Application of logical thinking in real life data analysis (Ranking &amp; Rankif, create own formulae)</t>
  </si>
  <si>
    <t>3. Brainstorming the logic.</t>
  </si>
  <si>
    <t>4. Making Dashboards.</t>
  </si>
  <si>
    <t>5. Keyboard shortcuts from Sorting &amp; Filtering perspective.</t>
  </si>
  <si>
    <t>Revenue Analysis - Courier Company using Prime Numbers</t>
  </si>
  <si>
    <t>Source</t>
  </si>
  <si>
    <t>Destination</t>
  </si>
  <si>
    <t>Route</t>
  </si>
  <si>
    <t>Turnover (INR mn)</t>
  </si>
  <si>
    <t>Vadodara</t>
  </si>
  <si>
    <t>Mumbai &amp; Vadodara</t>
  </si>
  <si>
    <t>Bhopal</t>
  </si>
  <si>
    <t>Delhi &amp; Bhopal</t>
  </si>
  <si>
    <t>Visakhapatnam</t>
  </si>
  <si>
    <t>Bangalore &amp; Visakhapatnam</t>
  </si>
  <si>
    <t>Pune</t>
  </si>
  <si>
    <t>Nagpur</t>
  </si>
  <si>
    <t>Pune &amp; Nagpur</t>
  </si>
  <si>
    <t>Ahmedabad &amp; Kolkata</t>
  </si>
  <si>
    <t>Chennai</t>
  </si>
  <si>
    <t>Jammu</t>
  </si>
  <si>
    <t>Chennai &amp; Jammu</t>
  </si>
  <si>
    <t>Kolkata &amp; Bhopal</t>
  </si>
  <si>
    <t>Surat</t>
  </si>
  <si>
    <t>Surat &amp; Pune</t>
  </si>
  <si>
    <t>Agra</t>
  </si>
  <si>
    <t>Patna</t>
  </si>
  <si>
    <t>Agra &amp; Patna</t>
  </si>
  <si>
    <t>Jaipur</t>
  </si>
  <si>
    <t>Jaipur &amp; Lucknow</t>
  </si>
  <si>
    <t>Kanpur</t>
  </si>
  <si>
    <t>Kutch</t>
  </si>
  <si>
    <t>Kanpur &amp; Kutch</t>
  </si>
  <si>
    <t>Lucknow &amp; Jaipur</t>
  </si>
  <si>
    <t>Nagpur &amp; Pune</t>
  </si>
  <si>
    <t>Indore</t>
  </si>
  <si>
    <t>Indore &amp; Chennai</t>
  </si>
  <si>
    <t>Pune &amp; Surat</t>
  </si>
  <si>
    <t>Bhopal &amp; Kolkata</t>
  </si>
  <si>
    <t>Chennai &amp; Indore</t>
  </si>
  <si>
    <t>Bhopal &amp; Delhi</t>
  </si>
  <si>
    <t>Patna &amp; Agra</t>
  </si>
  <si>
    <t>Vadodara &amp; Mumbai</t>
  </si>
  <si>
    <t>1. Understanding business from various cuts (data analysis).</t>
  </si>
  <si>
    <t>2. Defining problem mathematically (AB &amp; BA are same).</t>
  </si>
  <si>
    <t>3. =UNIQUE().</t>
  </si>
  <si>
    <t>4. Prime Numbers from 1 to 100.</t>
  </si>
  <si>
    <t>5. Concept of Lookup in Excel.</t>
  </si>
  <si>
    <t>6. Concept of SUMIFS in Excel.</t>
  </si>
  <si>
    <t>7. Most important thing to keep in my mind as better analyst, so you are sorted.</t>
  </si>
  <si>
    <t>Table of Contents</t>
  </si>
  <si>
    <t>3D Lookups</t>
  </si>
  <si>
    <t>Approximate Lookups</t>
  </si>
  <si>
    <t>Cell Ref ($) &amp; Dynamic Arrays</t>
  </si>
  <si>
    <t>Dashboard &amp; Rankif</t>
  </si>
  <si>
    <t>Data visualization</t>
  </si>
  <si>
    <t>DataTransform - SUBSTITUTE</t>
  </si>
  <si>
    <t>DataTypes</t>
  </si>
  <si>
    <t>EMI Computations - Goal Seek</t>
  </si>
  <si>
    <t>Lookups</t>
  </si>
  <si>
    <t>Multi-Vlookup</t>
  </si>
  <si>
    <t>NPV, IRR &amp; DV</t>
  </si>
  <si>
    <t>Pivots, Countifs, #, Flash Fill</t>
  </si>
  <si>
    <t>PowerQuery</t>
  </si>
  <si>
    <t>Revenue Analysis PrimeNum</t>
  </si>
  <si>
    <t>Take_Home_Case_Studies&gt;&gt;</t>
  </si>
  <si>
    <t>Point of Contact for queries:</t>
  </si>
  <si>
    <t>Chinmaya Amte</t>
  </si>
  <si>
    <t>+ 91 9967799680 (WhatsApp)</t>
  </si>
  <si>
    <t>chin.amte@gmail.com</t>
  </si>
  <si>
    <t>Advance Excel Workshop - KAGR Club with Chinmay Amte</t>
  </si>
  <si>
    <t>Instructions:</t>
  </si>
  <si>
    <t>1. Please download this workbook &amp; keep it handy (keep copies).</t>
  </si>
  <si>
    <t>6. Skim this workbook, try solving on your own (before workshop) for maximum benefit.</t>
  </si>
  <si>
    <t>2. Course will be taught in case studies format. All case studies are self explanatory &amp; key takeways are highlighted for revision.</t>
  </si>
  <si>
    <t>5. Be active on the chat box &amp; focus on being as interactive as possible with the trainer. Avoid being passive &amp; lazy.</t>
  </si>
  <si>
    <t>This workbook to be used for educational purposes only, unless permitted otherwise. Please avoid piracy, unauthorised circulation as it takes years of efforts to make content.</t>
  </si>
  <si>
    <t>This workbook has been created &amp; designed by Chinmaya Amte. Copyrights &amp; re-production rights are with him.</t>
  </si>
  <si>
    <r>
      <t xml:space="preserve">LinkedIn: </t>
    </r>
    <r>
      <rPr>
        <i/>
        <u/>
        <sz val="10"/>
        <color rgb="FF0070C0"/>
        <rFont val="Arial"/>
        <family val="2"/>
      </rPr>
      <t>https://www.linkedin.com/in/amtechinmaya/</t>
    </r>
  </si>
  <si>
    <r>
      <t xml:space="preserve">4A. Ensure you have latest version of Microsoft Office 365 (if you don't have create a free account on </t>
    </r>
    <r>
      <rPr>
        <b/>
        <sz val="10"/>
        <color rgb="FF00B0F0"/>
        <rFont val="Arial"/>
        <family val="2"/>
      </rPr>
      <t>www.office.com</t>
    </r>
    <r>
      <rPr>
        <b/>
        <sz val="10"/>
        <color theme="1"/>
        <rFont val="Arial"/>
        <family val="2"/>
      </rPr>
      <t>).</t>
    </r>
  </si>
  <si>
    <t>https://www.kagr.club/home</t>
  </si>
  <si>
    <t>4B. If you have =XLOOKUP() function on your Excel then you are on the latest version.</t>
  </si>
  <si>
    <t>7. You shall see a transformation in yourself post workshop (provided participant is active). Your fears, worries are mine now, just enjoy &amp; learn &amp; grow.</t>
  </si>
  <si>
    <t>3. Have Pen &amp; Paper to make exhaustive notes. Solution workbook called as (AFTER) workbook, will be shared seperately, post workshop.</t>
  </si>
  <si>
    <t>Company (within that sector)</t>
  </si>
  <si>
    <t>Market Cap (within that sector)</t>
  </si>
  <si>
    <t>OFFICE 365 = www.office.com</t>
  </si>
  <si>
    <t>Unique City names</t>
  </si>
  <si>
    <t>Names of Colleges</t>
  </si>
  <si>
    <t>Meharsh</t>
  </si>
  <si>
    <t>1. Understand the data structures (reporting vs analysis friendly)</t>
  </si>
  <si>
    <t xml:space="preserve"> Male</t>
  </si>
  <si>
    <t xml:space="preserve"> Delhi</t>
  </si>
  <si>
    <t>Sunita</t>
  </si>
  <si>
    <t xml:space="preserve"> Female</t>
  </si>
  <si>
    <t xml:space="preserve"> Mumbai</t>
  </si>
  <si>
    <t>Eric</t>
  </si>
  <si>
    <t xml:space="preserve"> Banglore</t>
  </si>
  <si>
    <t>Anita</t>
  </si>
  <si>
    <t>Ramcharan</t>
  </si>
  <si>
    <t>Chhaya</t>
  </si>
  <si>
    <t>Rajesh</t>
  </si>
  <si>
    <t>Chandni</t>
  </si>
  <si>
    <t xml:space="preserve"> Kolkata</t>
  </si>
  <si>
    <t>Sunil</t>
  </si>
  <si>
    <t>Mac</t>
  </si>
  <si>
    <t>Sulochana</t>
  </si>
  <si>
    <t>Issac</t>
  </si>
  <si>
    <t>Ramesh</t>
  </si>
  <si>
    <t>Chanda</t>
  </si>
  <si>
    <t>Chaitanya</t>
  </si>
  <si>
    <t>Gender</t>
  </si>
  <si>
    <t>Location</t>
  </si>
  <si>
    <t>Age</t>
  </si>
  <si>
    <t>WILDCARDS in Excel</t>
  </si>
  <si>
    <t>*</t>
  </si>
  <si>
    <t>?</t>
  </si>
  <si>
    <t>~</t>
  </si>
  <si>
    <t>In India, std mobile num is always 10 digits</t>
  </si>
  <si>
    <t xml:space="preserve">Pre Fix - 0, 91 + </t>
  </si>
  <si>
    <t>Last 10 digits of the number</t>
  </si>
  <si>
    <t>10 digits from the RIGHT?</t>
  </si>
  <si>
    <t>Modern Excel</t>
  </si>
  <si>
    <t>ALT + F D A</t>
  </si>
  <si>
    <t>www.office.com</t>
  </si>
  <si>
    <t>Office 365</t>
  </si>
  <si>
    <t>Dynmaic Array..</t>
  </si>
  <si>
    <t>$</t>
  </si>
  <si>
    <t>Freezing</t>
  </si>
  <si>
    <t>Absolute Cell Ref.</t>
  </si>
  <si>
    <t>Dynamic Arrays</t>
  </si>
  <si>
    <t>F4</t>
  </si>
  <si>
    <t>Fn + F4</t>
  </si>
  <si>
    <t>SHFT 4</t>
  </si>
  <si>
    <t>Check??</t>
  </si>
  <si>
    <t>total of % is always 100</t>
  </si>
  <si>
    <r>
      <t xml:space="preserve">8R x </t>
    </r>
    <r>
      <rPr>
        <strike/>
        <sz val="10"/>
        <color theme="1"/>
        <rFont val="Arial"/>
        <family val="2"/>
      </rPr>
      <t>1C</t>
    </r>
  </si>
  <si>
    <r>
      <rPr>
        <strike/>
        <sz val="10"/>
        <color theme="1"/>
        <rFont val="Arial"/>
        <family val="2"/>
      </rPr>
      <t>1R</t>
    </r>
    <r>
      <rPr>
        <sz val="10"/>
        <color theme="1"/>
        <rFont val="Arial"/>
        <family val="2"/>
      </rPr>
      <t xml:space="preserve"> x 3C</t>
    </r>
  </si>
  <si>
    <t>8R x 3C</t>
  </si>
  <si>
    <t>2nd relative ref - delete becomes a problem</t>
  </si>
  <si>
    <t>1st autofil - adding</t>
  </si>
  <si>
    <t>SHFT F11</t>
  </si>
  <si>
    <t>https://support.microsoft.com/en-us/office/use-the-find-and-replace-dialog-box-to-change-data-2eee8d02-5a40-4328-ba56-ec0406865680#bm1</t>
  </si>
  <si>
    <t>SUM of the 3 cells above me</t>
  </si>
  <si>
    <t>CTRL ALT V</t>
  </si>
  <si>
    <t>ALT ES</t>
  </si>
  <si>
    <t>OFFICE 365</t>
  </si>
  <si>
    <t>CTRL SHFT V</t>
  </si>
  <si>
    <t>flat, teax, mat, uad, cf, slab XX</t>
  </si>
  <si>
    <t>maker, checker, editor</t>
  </si>
  <si>
    <t>inputs verified, logged</t>
  </si>
  <si>
    <t>Readable</t>
  </si>
  <si>
    <t>if making loss then tax is 0, else its pre tax * 30%</t>
  </si>
  <si>
    <t>'=IF(B13&lt;0,0,B13*B19)</t>
  </si>
  <si>
    <t>=MAX(0,B13*B19)</t>
  </si>
  <si>
    <t>1. hardcode the input values…</t>
  </si>
  <si>
    <t>2. on what you are performing sensitivity analysis, link it to the top.</t>
  </si>
  <si>
    <t>Putting Makeup</t>
  </si>
  <si>
    <t>Pie Chart XXX</t>
  </si>
  <si>
    <t>Time Series, it has an order, asc/des, calendar</t>
  </si>
  <si>
    <t>bar graph or a line graph</t>
  </si>
  <si>
    <t>X</t>
  </si>
  <si>
    <t>Y</t>
  </si>
  <si>
    <t>Z</t>
  </si>
  <si>
    <t>Q3FY23</t>
  </si>
  <si>
    <t>CTRL T</t>
  </si>
  <si>
    <t>CTRL L</t>
  </si>
  <si>
    <t>Before 2007 - Lists "L"</t>
  </si>
  <si>
    <t>2007 version - Tables "T"</t>
  </si>
  <si>
    <t>Q4FY23</t>
  </si>
  <si>
    <t>Economic data of India</t>
  </si>
  <si>
    <t>Grandfather purchased house</t>
  </si>
  <si>
    <t>Value</t>
  </si>
  <si>
    <t>Today's Value</t>
  </si>
  <si>
    <t>User EMI input</t>
  </si>
  <si>
    <t>Revised Tenure</t>
  </si>
  <si>
    <t>CAGR</t>
  </si>
  <si>
    <t>Find Line Break, Delete Line Break</t>
  </si>
  <si>
    <t>Find Line Break, Replace the line break with nothing</t>
  </si>
  <si>
    <t>A</t>
  </si>
  <si>
    <r>
      <rPr>
        <b/>
        <sz val="11"/>
        <color theme="1"/>
        <rFont val="Calibri"/>
        <family val="2"/>
        <scheme val="minor"/>
      </rPr>
      <t>UNI</t>
    </r>
    <r>
      <rPr>
        <sz val="11"/>
        <color theme="1"/>
        <rFont val="Calibri"/>
        <family val="2"/>
        <scheme val="minor"/>
      </rPr>
      <t>CHAR</t>
    </r>
  </si>
  <si>
    <r>
      <rPr>
        <b/>
        <sz val="11"/>
        <color theme="1"/>
        <rFont val="Calibri"/>
        <family val="2"/>
        <scheme val="minor"/>
      </rPr>
      <t>UNI</t>
    </r>
    <r>
      <rPr>
        <sz val="11"/>
        <color theme="1"/>
        <rFont val="Calibri"/>
        <family val="2"/>
        <scheme val="minor"/>
      </rPr>
      <t>CODE</t>
    </r>
  </si>
  <si>
    <t xml:space="preserve"> </t>
  </si>
  <si>
    <t xml:space="preserve">
</t>
  </si>
  <si>
    <t>Space</t>
  </si>
  <si>
    <t>Line Break</t>
  </si>
  <si>
    <t>Count of Designation</t>
  </si>
  <si>
    <t>Excel Consultant</t>
  </si>
  <si>
    <t>Nikola Tesla</t>
  </si>
  <si>
    <t>Chief Scientist</t>
  </si>
  <si>
    <t>Programming by Example</t>
  </si>
  <si>
    <t>Sumit Gulwani - IIT - 20 yrs - USA - MSFT</t>
  </si>
  <si>
    <t>Luanna.Devinney@hooli.com</t>
  </si>
  <si>
    <t>Logan.Branscum@hooli.com</t>
  </si>
  <si>
    <t>Alexandria.Talbot@hooli.com</t>
  </si>
  <si>
    <t>Judi.Roundtree@hooli.com</t>
  </si>
  <si>
    <t>Liane.Stemple@hooli.com</t>
  </si>
  <si>
    <t>Chana.Mcclaran@hooli.com</t>
  </si>
  <si>
    <t>Alda.Whatley@hooli.com</t>
  </si>
  <si>
    <t>Ocie.Luman@hooli.com</t>
  </si>
  <si>
    <t>Marquerite.Hannold@hooli.com</t>
  </si>
  <si>
    <t>Mauricio.Fleitas@hooli.com</t>
  </si>
  <si>
    <t>Mohamed.Steve@hooli.com</t>
  </si>
  <si>
    <t>Magdalene.Lasso@hooli.com</t>
  </si>
  <si>
    <t>Jannie.Rickel@hooli.com</t>
  </si>
  <si>
    <t>Josephine.Breton@hooli.com</t>
  </si>
  <si>
    <t>Cammie.Hafford@hooli.com</t>
  </si>
  <si>
    <t>Hoa.Perdomo@hooli.com</t>
  </si>
  <si>
    <t>Augusta.Schaible@hooli.com</t>
  </si>
  <si>
    <t>Nakia.Athens@hooli.com</t>
  </si>
  <si>
    <t>Delores.Senn@hooli.com</t>
  </si>
  <si>
    <t>Karlene.Thorn@hooli.com</t>
  </si>
  <si>
    <t>Genna.Kleckner@hooli.com</t>
  </si>
  <si>
    <t>Neoma.Shaul@hooli.com</t>
  </si>
  <si>
    <t>Chun.Golightly@hooli.com</t>
  </si>
  <si>
    <t>Keeley.Honore@hooli.com</t>
  </si>
  <si>
    <t>India.Ortiz@hooli.com</t>
  </si>
  <si>
    <t>Lovie.Hertzler@hooli.com</t>
  </si>
  <si>
    <t>Tijuana.Basden@hooli.com</t>
  </si>
  <si>
    <t>Jesusa.Amerine@hooli.com</t>
  </si>
  <si>
    <t>Angelo.Lucius@hooli.com</t>
  </si>
  <si>
    <t>Tamara.Hurdle@hooli.com</t>
  </si>
  <si>
    <t>Billye.Ellingsworth@hooli.com</t>
  </si>
  <si>
    <t>Matthew.Hume@hooli.com</t>
  </si>
  <si>
    <t>Robert.Swope@hooli.com</t>
  </si>
  <si>
    <t>Shaunte.Ankrom@hooli.com</t>
  </si>
  <si>
    <t>Jamison.Limones@hooli.com</t>
  </si>
  <si>
    <t>Marquetta.Dubose@hooli.com</t>
  </si>
  <si>
    <t>Edna.Valtierra@hooli.com</t>
  </si>
  <si>
    <t>Janee.Hogg@hooli.com</t>
  </si>
  <si>
    <t>Tamala.Porterfield@hooli.com</t>
  </si>
  <si>
    <t>Caryn.Sowell@hooli.com</t>
  </si>
  <si>
    <t>Jerica.Schwein@hooli.com</t>
  </si>
  <si>
    <t>Ronny.Mayoral@hooli.com</t>
  </si>
  <si>
    <t>Retha.Pruett@hooli.com</t>
  </si>
  <si>
    <t>Caitlin.Lamirande@hooli.com</t>
  </si>
  <si>
    <t>Skye.Kowalski@hooli.com</t>
  </si>
  <si>
    <t>Danyell.Stapp@hooli.com</t>
  </si>
  <si>
    <t>Kindra.Didion@hooli.com</t>
  </si>
  <si>
    <t>Chinmaya.Amte@hooli.com</t>
  </si>
  <si>
    <t>Nikola.Tesla@hooli.com</t>
  </si>
  <si>
    <t>dd-mm-yyyy (control panel settings)</t>
  </si>
  <si>
    <t xml:space="preserve">Microsoft </t>
  </si>
  <si>
    <t>Excel - 1985</t>
  </si>
  <si>
    <t>limitation, cannot store or analyse data before 1-Jan-1900</t>
  </si>
  <si>
    <t>Escalorts - Moving Staircase</t>
  </si>
  <si>
    <t>Bisler- Mineral water</t>
  </si>
  <si>
    <t>SPREAD SHEETS</t>
  </si>
  <si>
    <t>Excel from Microsoft</t>
  </si>
  <si>
    <t>Google Sheets from Alphabet / Google</t>
  </si>
  <si>
    <t>It appears to be a date, but its not really date. Hence, can I say Cell B13 has been FRIENDZONED!!!</t>
  </si>
  <si>
    <t>Pivot Tables and Tables are different.</t>
  </si>
  <si>
    <t>Column Labels</t>
  </si>
  <si>
    <t>Grand Total</t>
  </si>
  <si>
    <t>Row Labels</t>
  </si>
  <si>
    <t>Salaries</t>
  </si>
  <si>
    <t>Sum of Salaries</t>
  </si>
  <si>
    <t>Details for Average of Salaries - Designation: Intern</t>
  </si>
  <si>
    <t>Details for Count of Salaries - Designation: Analyst</t>
  </si>
  <si>
    <t>SUMIFS &amp; CUMSUM</t>
  </si>
  <si>
    <t>Manual</t>
  </si>
  <si>
    <t>Plus</t>
  </si>
  <si>
    <t>SUM</t>
  </si>
  <si>
    <t>Dollar</t>
  </si>
  <si>
    <t>SUMIFS</t>
  </si>
  <si>
    <t>LAMDBA SCAN</t>
  </si>
  <si>
    <t>Cumulative 1</t>
  </si>
  <si>
    <t>Cumulative 2</t>
  </si>
  <si>
    <t>Cumulative 3</t>
  </si>
  <si>
    <t>Cumulative 4</t>
  </si>
  <si>
    <t>Cumulative 5</t>
  </si>
  <si>
    <t>Cumulative 6</t>
  </si>
  <si>
    <t>1. Cumulative Sum</t>
  </si>
  <si>
    <t>2. SUMIFS</t>
  </si>
  <si>
    <t>3. Dollar Sign Revision</t>
  </si>
  <si>
    <t>4. SCAN, LAMDBA</t>
  </si>
  <si>
    <t>MAP SCAN</t>
  </si>
  <si>
    <t>2022---</t>
  </si>
  <si>
    <t>B</t>
  </si>
  <si>
    <t>C</t>
  </si>
  <si>
    <t>D</t>
  </si>
  <si>
    <t>XXX</t>
  </si>
  <si>
    <t>Amte</t>
  </si>
  <si>
    <t>VLOOKUP, HLOOKUP</t>
  </si>
  <si>
    <t>INDEX MATCH</t>
  </si>
  <si>
    <t>XLOOKUP</t>
  </si>
  <si>
    <t>FILTER</t>
  </si>
  <si>
    <t>Step 1: Ctrl C on China i.e the lookup value</t>
  </si>
  <si>
    <t>Step 2: Found the relevant column where this data exist and we did a ctrl f</t>
  </si>
  <si>
    <t>Step 3: Moving 2 steps to the right</t>
  </si>
  <si>
    <t xml:space="preserve">Step 4: Copy paste the value </t>
  </si>
  <si>
    <t>&gt;&gt;&gt;&gt;&gt;RIGHT</t>
  </si>
  <si>
    <t>2021 - XLOOKUP</t>
  </si>
  <si>
    <t>1985 - VLOOKUP</t>
  </si>
  <si>
    <t>NESTING OF FUNCTIONS</t>
  </si>
  <si>
    <t>Lookup family, have a dosha in kundali, LOVE AT FIRST SIGHT!</t>
  </si>
  <si>
    <t>VLOOKUP</t>
  </si>
  <si>
    <t>XLOOKUP +1</t>
  </si>
  <si>
    <t>XLOOKUP -1</t>
  </si>
  <si>
    <t>After, marriage, wife should go to husbands house OR</t>
  </si>
  <si>
    <t>husband should go to wifes house?</t>
  </si>
  <si>
    <t>Convert Text Values to Number</t>
  </si>
  <si>
    <t>Q1</t>
  </si>
  <si>
    <t>Q2</t>
  </si>
  <si>
    <t>Q3</t>
  </si>
  <si>
    <t>Q4</t>
  </si>
  <si>
    <t>(Dept Name, Year, City)</t>
  </si>
  <si>
    <t>Fruits</t>
  </si>
  <si>
    <t>Mango</t>
  </si>
  <si>
    <t>Apple</t>
  </si>
  <si>
    <t>Cherry</t>
  </si>
  <si>
    <t>SUMPRODUCT &gt; SUMIFS</t>
  </si>
  <si>
    <t>Chinmaya</t>
  </si>
  <si>
    <t>12-31-1996</t>
  </si>
  <si>
    <t>M D Y</t>
  </si>
  <si>
    <t>D M Y</t>
  </si>
  <si>
    <t>CoGS</t>
  </si>
  <si>
    <t>Gross Profit</t>
  </si>
  <si>
    <t>Salary</t>
  </si>
  <si>
    <t>Other Income</t>
  </si>
  <si>
    <t>EBITDA</t>
  </si>
  <si>
    <t>Dep</t>
  </si>
  <si>
    <t>PBT</t>
  </si>
  <si>
    <t>Khushi LTd</t>
  </si>
  <si>
    <t>Cashsales</t>
  </si>
  <si>
    <t>COGS</t>
  </si>
  <si>
    <t>Cash Statemet</t>
  </si>
  <si>
    <t>Cash</t>
  </si>
  <si>
    <t>Accrual</t>
  </si>
  <si>
    <t>CashNet Profit</t>
  </si>
  <si>
    <t>Books of Accounts</t>
  </si>
  <si>
    <t>Tax books of accounts</t>
  </si>
  <si>
    <t>SLM</t>
  </si>
  <si>
    <t>5 years</t>
  </si>
  <si>
    <t>Asset</t>
  </si>
  <si>
    <t>Scrap</t>
  </si>
  <si>
    <t>Dep per annum</t>
  </si>
  <si>
    <t>WDV</t>
  </si>
  <si>
    <t>OP</t>
  </si>
  <si>
    <t>Closing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</si>
</sst>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1">
    <numFmt numFmtId="8" formatCode="&quot;₹&quot;\ #,##0.00;[Red]&quot;₹&quot;\ \-#,##0.00"/>
    <numFmt numFmtId="43" formatCode="_ * #,##0.00_ ;_ * \-#,##0.00_ ;_ * &quot;-&quot;??_ ;_ @_ "/>
    <numFmt numFmtId="164" formatCode="#,##0.0"/>
    <numFmt numFmtId="165" formatCode="&quot;₹&quot;\ #,##0"/>
    <numFmt numFmtId="166" formatCode="0.0"/>
    <numFmt numFmtId="167" formatCode="#,##0_);\(#,##0\);&quot; - &quot;_);@_)"/>
    <numFmt numFmtId="168" formatCode="_ * #,##0_ ;_ * \-#,##0_ ;_ * &quot;-&quot;??_ ;_ @_ "/>
    <numFmt numFmtId="169" formatCode="_ [$₹-4009]\ * #,##0.00_ ;_ [$₹-4009]\ * \-#,##0.00_ ;_ [$₹-4009]\ * &quot;-&quot;??_ ;_ @_ "/>
    <numFmt numFmtId="170" formatCode="0.0%"/>
    <numFmt numFmtId="171" formatCode="&quot;Net Profit Values&quot;"/>
    <numFmt numFmtId="172" formatCode="0.00000%"/>
  </numFmts>
  <fonts count="48" x14ac:knownFonts="1">
    <font>
      <sz val="11"/>
      <color theme="1"/>
      <name val="Calibri"/>
      <family val="2"/>
      <scheme val="minor"/>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0"/>
      <color theme="1"/>
      <name val="Arial"/>
      <family val="2"/>
    </font>
    <font>
      <sz val="11"/>
      <color theme="1"/>
      <name val="Calibri"/>
      <family val="2"/>
      <scheme val="minor"/>
    </font>
    <font>
      <b/>
      <sz val="11"/>
      <color theme="3"/>
      <name val="Arial"/>
      <family val="2"/>
    </font>
    <font>
      <sz val="10"/>
      <color rgb="FF3F3F76"/>
      <name val="Arial"/>
      <family val="2"/>
    </font>
    <font>
      <b/>
      <sz val="10"/>
      <color rgb="FF3F3F3F"/>
      <name val="Arial"/>
      <family val="2"/>
    </font>
    <font>
      <b/>
      <sz val="10"/>
      <color theme="0"/>
      <name val="Arial"/>
      <family val="2"/>
    </font>
    <font>
      <sz val="10"/>
      <color rgb="FFFF0000"/>
      <name val="Arial"/>
      <family val="2"/>
    </font>
    <font>
      <b/>
      <sz val="10"/>
      <color theme="1"/>
      <name val="Arial"/>
      <family val="2"/>
    </font>
    <font>
      <b/>
      <u/>
      <sz val="11"/>
      <color theme="1"/>
      <name val="Arial"/>
      <family val="2"/>
    </font>
    <font>
      <u/>
      <sz val="10"/>
      <color theme="1"/>
      <name val="Arial"/>
      <family val="2"/>
    </font>
    <font>
      <sz val="11"/>
      <color rgb="FF3F3F76"/>
      <name val="Calibri"/>
      <family val="2"/>
      <scheme val="minor"/>
    </font>
    <font>
      <u/>
      <sz val="11"/>
      <color theme="10"/>
      <name val="Calibri"/>
      <family val="2"/>
      <scheme val="minor"/>
    </font>
    <font>
      <u/>
      <sz val="10"/>
      <color theme="10"/>
      <name val="Arial"/>
      <family val="2"/>
    </font>
    <font>
      <sz val="11"/>
      <color theme="1"/>
      <name val="Arial"/>
      <family val="2"/>
    </font>
    <font>
      <b/>
      <i/>
      <u/>
      <sz val="10"/>
      <color theme="1"/>
      <name val="Arial"/>
      <family val="2"/>
    </font>
    <font>
      <i/>
      <sz val="10"/>
      <color theme="1"/>
      <name val="Arial"/>
      <family val="2"/>
    </font>
    <font>
      <b/>
      <u/>
      <sz val="10"/>
      <color theme="1"/>
      <name val="Arial"/>
      <family val="2"/>
    </font>
    <font>
      <b/>
      <sz val="10"/>
      <color theme="0" tint="-4.9989318521683403E-2"/>
      <name val="Arial"/>
      <family val="2"/>
    </font>
    <font>
      <u/>
      <sz val="11"/>
      <color theme="1"/>
      <name val="Arial"/>
      <family val="2"/>
    </font>
    <font>
      <i/>
      <u/>
      <sz val="10"/>
      <color rgb="FF0070C0"/>
      <name val="Arial"/>
      <family val="2"/>
    </font>
    <font>
      <i/>
      <u/>
      <sz val="10"/>
      <color theme="10"/>
      <name val="Arial"/>
      <family val="2"/>
    </font>
    <font>
      <sz val="10"/>
      <name val="Arial Narrow"/>
      <family val="2"/>
    </font>
    <font>
      <b/>
      <u/>
      <sz val="11"/>
      <name val="Arial"/>
      <family val="2"/>
    </font>
    <font>
      <b/>
      <sz val="10"/>
      <name val="Arial"/>
      <family val="2"/>
    </font>
    <font>
      <sz val="10"/>
      <name val="Arial"/>
      <family val="2"/>
    </font>
    <font>
      <b/>
      <sz val="10"/>
      <color theme="3"/>
      <name val="Arial"/>
      <family val="2"/>
    </font>
    <font>
      <b/>
      <i/>
      <sz val="10"/>
      <color theme="1"/>
      <name val="Arial"/>
      <family val="2"/>
    </font>
    <font>
      <b/>
      <sz val="10"/>
      <color rgb="FF00B0F0"/>
      <name val="Arial"/>
      <family val="2"/>
    </font>
    <font>
      <sz val="10"/>
      <color rgb="FFFFFFFF"/>
      <name val="Arial"/>
      <family val="2"/>
    </font>
    <font>
      <b/>
      <sz val="12"/>
      <color theme="1"/>
      <name val="Arial"/>
      <family val="2"/>
    </font>
    <font>
      <b/>
      <i/>
      <u/>
      <sz val="14"/>
      <color theme="3"/>
      <name val="Arial"/>
      <family val="2"/>
    </font>
    <font>
      <i/>
      <u/>
      <sz val="10"/>
      <color theme="1"/>
      <name val="Arial"/>
      <family val="2"/>
    </font>
    <font>
      <strike/>
      <sz val="10"/>
      <color theme="1"/>
      <name val="Arial"/>
      <family val="2"/>
    </font>
    <font>
      <sz val="10"/>
      <color rgb="FF0070C0"/>
      <name val="Arial"/>
      <family val="2"/>
    </font>
    <font>
      <sz val="10"/>
      <color theme="0"/>
      <name val="Arial"/>
      <family val="2"/>
    </font>
    <font>
      <b/>
      <sz val="11"/>
      <color theme="1"/>
      <name val="Calibri"/>
      <family val="2"/>
      <scheme val="minor"/>
    </font>
  </fonts>
  <fills count="19">
    <fill>
      <patternFill patternType="none"/>
    </fill>
    <fill>
      <patternFill patternType="gray125"/>
    </fill>
    <fill>
      <patternFill patternType="solid">
        <fgColor rgb="FFFFCC99"/>
      </patternFill>
    </fill>
    <fill>
      <patternFill patternType="solid">
        <fgColor rgb="FFF2F2F2"/>
      </patternFill>
    </fill>
    <fill>
      <patternFill patternType="solid">
        <fgColor rgb="FF002060"/>
        <bgColor indexed="64"/>
      </patternFill>
    </fill>
    <fill>
      <patternFill patternType="solid">
        <fgColor theme="1" tint="4.9989318521683403E-2"/>
        <bgColor indexed="64"/>
      </patternFill>
    </fill>
    <fill>
      <patternFill patternType="solid">
        <fgColor theme="4" tint="0.79998168889431442"/>
        <bgColor indexed="64"/>
      </patternFill>
    </fill>
    <fill>
      <patternFill patternType="solid">
        <fgColor rgb="FFFFC000"/>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2" tint="-0.749992370372631"/>
        <bgColor indexed="64"/>
      </patternFill>
    </fill>
    <fill>
      <patternFill patternType="solid">
        <fgColor theme="0" tint="-0.14999847407452621"/>
        <bgColor indexed="64"/>
      </patternFill>
    </fill>
    <fill>
      <patternFill patternType="solid">
        <fgColor rgb="FF00B0F0"/>
        <bgColor indexed="64"/>
      </patternFill>
    </fill>
    <fill>
      <patternFill patternType="solid">
        <fgColor rgb="FFFFFF00"/>
        <bgColor indexed="64"/>
      </patternFill>
    </fill>
    <fill>
      <patternFill patternType="solid">
        <fgColor rgb="FF92D050"/>
        <bgColor indexed="64"/>
      </patternFill>
    </fill>
    <fill>
      <patternFill patternType="solid">
        <fgColor theme="0" tint="-0.499984740745262"/>
        <bgColor indexed="64"/>
      </patternFill>
    </fill>
    <fill>
      <patternFill patternType="solid">
        <fgColor rgb="FF5B9BD5"/>
        <bgColor indexed="64"/>
      </patternFill>
    </fill>
    <fill>
      <patternFill patternType="solid">
        <fgColor theme="8" tint="0.79998168889431442"/>
        <bgColor indexed="64"/>
      </patternFill>
    </fill>
    <fill>
      <patternFill patternType="solid">
        <fgColor rgb="FFFF0000"/>
        <bgColor indexed="64"/>
      </patternFill>
    </fill>
  </fills>
  <borders count="66">
    <border>
      <left/>
      <right/>
      <top/>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dotted">
        <color theme="0" tint="-0.499984740745262"/>
      </left>
      <right style="dotted">
        <color theme="0" tint="-0.499984740745262"/>
      </right>
      <top style="dotted">
        <color theme="0" tint="-0.499984740745262"/>
      </top>
      <bottom style="dotted">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rgb="FF3F3F3F"/>
      </right>
      <top style="thin">
        <color theme="0" tint="-0.499984740745262"/>
      </top>
      <bottom style="thin">
        <color theme="0" tint="-0.499984740745262"/>
      </bottom>
      <diagonal/>
    </border>
    <border>
      <left style="dotted">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style="thin">
        <color indexed="64"/>
      </top>
      <bottom style="thin">
        <color indexed="64"/>
      </bottom>
      <diagonal/>
    </border>
    <border>
      <left style="dotted">
        <color theme="0" tint="-0.24994659260841701"/>
      </left>
      <right style="dotted">
        <color theme="0" tint="-0.24994659260841701"/>
      </right>
      <top style="dotted">
        <color theme="0" tint="-0.24994659260841701"/>
      </top>
      <bottom style="dotted">
        <color theme="0" tint="-0.24994659260841701"/>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right style="dotted">
        <color theme="0" tint="-0.24994659260841701"/>
      </right>
      <top style="dotted">
        <color theme="0" tint="-0.24994659260841701"/>
      </top>
      <bottom style="dotted">
        <color theme="0" tint="-0.2499465926084170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hair">
        <color theme="0" tint="-0.24994659260841701"/>
      </left>
      <right style="hair">
        <color theme="0" tint="-0.24994659260841701"/>
      </right>
      <top style="hair">
        <color theme="0" tint="-0.24994659260841701"/>
      </top>
      <bottom style="hair">
        <color theme="0" tint="-0.24994659260841701"/>
      </bottom>
      <diagonal/>
    </border>
    <border>
      <left/>
      <right/>
      <top style="thin">
        <color indexed="64"/>
      </top>
      <bottom style="thin">
        <color indexed="64"/>
      </bottom>
      <diagonal/>
    </border>
    <border>
      <left style="dotted">
        <color rgb="FFFF0000"/>
      </left>
      <right style="dotted">
        <color rgb="FFFF0000"/>
      </right>
      <top style="dotted">
        <color rgb="FFFF0000"/>
      </top>
      <bottom style="dotted">
        <color rgb="FFFF0000"/>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mediumDashed">
        <color theme="1" tint="4.9989318521683403E-2"/>
      </left>
      <right style="mediumDashed">
        <color theme="1" tint="4.9989318521683403E-2"/>
      </right>
      <top style="mediumDashed">
        <color theme="1" tint="4.9989318521683403E-2"/>
      </top>
      <bottom style="mediumDashed">
        <color theme="1" tint="4.9989318521683403E-2"/>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auto="1"/>
      </right>
      <top style="thin">
        <color auto="1"/>
      </top>
      <bottom style="thin">
        <color auto="1"/>
      </bottom>
      <diagonal/>
    </border>
    <border>
      <left/>
      <right style="thin">
        <color auto="1"/>
      </right>
      <top/>
      <bottom/>
      <diagonal/>
    </border>
    <border>
      <left/>
      <right style="thin">
        <color auto="1"/>
      </right>
      <top/>
      <bottom style="thin">
        <color auto="1"/>
      </bottom>
      <diagonal/>
    </border>
    <border>
      <left style="thin">
        <color indexed="64"/>
      </left>
      <right style="thin">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style="thin">
        <color auto="1"/>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dotted">
        <color theme="9" tint="-0.24994659260841701"/>
      </left>
      <right style="dotted">
        <color theme="9" tint="-0.24994659260841701"/>
      </right>
      <top style="dotted">
        <color theme="9" tint="-0.24994659260841701"/>
      </top>
      <bottom style="dotted">
        <color theme="9" tint="-0.24994659260841701"/>
      </bottom>
      <diagonal/>
    </border>
    <border>
      <left style="thin">
        <color rgb="FF7F7F7F"/>
      </left>
      <right style="thin">
        <color rgb="FF7F7F7F"/>
      </right>
      <top style="thin">
        <color rgb="FF7F7F7F"/>
      </top>
      <bottom/>
      <diagonal/>
    </border>
    <border>
      <left style="medium">
        <color theme="4" tint="0.39994506668294322"/>
      </left>
      <right style="medium">
        <color theme="4" tint="0.39994506668294322"/>
      </right>
      <top style="medium">
        <color rgb="FF9BC2E6"/>
      </top>
      <bottom style="medium">
        <color theme="4" tint="0.39997558519241921"/>
      </bottom>
      <diagonal/>
    </border>
    <border>
      <left/>
      <right style="thin">
        <color theme="0" tint="-0.499984740745262"/>
      </right>
      <top style="medium">
        <color theme="4" tint="0.39997558519241921"/>
      </top>
      <bottom style="thin">
        <color theme="0" tint="-0.499984740745262"/>
      </bottom>
      <diagonal/>
    </border>
    <border>
      <left style="thin">
        <color theme="0" tint="-0.499984740745262"/>
      </left>
      <right style="thin">
        <color theme="0" tint="-0.499984740745262"/>
      </right>
      <top style="medium">
        <color theme="4" tint="0.39997558519241921"/>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theme="0" tint="-0.499984740745262"/>
      </right>
      <top style="thin">
        <color theme="0" tint="-0.499984740745262"/>
      </top>
      <bottom style="thin">
        <color rgb="FF808080"/>
      </bottom>
      <diagonal/>
    </border>
    <border>
      <left style="thin">
        <color theme="0" tint="-0.499984740745262"/>
      </left>
      <right style="thin">
        <color theme="0" tint="-0.499984740745262"/>
      </right>
      <top style="thin">
        <color theme="0" tint="-0.499984740745262"/>
      </top>
      <bottom style="thin">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right/>
      <top/>
      <bottom style="thin">
        <color theme="0" tint="-0.24994659260841701"/>
      </bottom>
      <diagonal/>
    </border>
    <border>
      <left/>
      <right style="thin">
        <color indexed="64"/>
      </right>
      <top style="thin">
        <color indexed="64"/>
      </top>
      <bottom/>
      <diagonal/>
    </border>
    <border>
      <left style="thin">
        <color indexed="64"/>
      </left>
      <right style="thin">
        <color indexed="64"/>
      </right>
      <top style="thin">
        <color indexed="64"/>
      </top>
      <bottom style="medium">
        <color rgb="FFFFFFFF"/>
      </bottom>
      <diagonal/>
    </border>
    <border>
      <left style="thin">
        <color indexed="64"/>
      </left>
      <right style="thin">
        <color indexed="64"/>
      </right>
      <top style="medium">
        <color rgb="FFFFFFFF"/>
      </top>
      <bottom style="medium">
        <color rgb="FFFFFFFF"/>
      </bottom>
      <diagonal/>
    </border>
    <border>
      <left style="thin">
        <color indexed="64"/>
      </left>
      <right style="thin">
        <color indexed="64"/>
      </right>
      <top style="medium">
        <color rgb="FFFFFFFF"/>
      </top>
      <bottom style="thin">
        <color indexed="64"/>
      </bottom>
      <diagonal/>
    </border>
    <border>
      <left style="medium">
        <color theme="0" tint="-0.499984740745262"/>
      </left>
      <right/>
      <top/>
      <bottom/>
      <diagonal/>
    </border>
    <border>
      <left/>
      <right style="medium">
        <color theme="0" tint="-0.499984740745262"/>
      </right>
      <top/>
      <bottom/>
      <diagonal/>
    </border>
    <border>
      <left style="medium">
        <color theme="0" tint="-0.499984740745262"/>
      </left>
      <right style="medium">
        <color theme="0" tint="-0.499984740745262"/>
      </right>
      <top/>
      <bottom/>
      <diagonal/>
    </border>
    <border>
      <left style="thin">
        <color theme="0" tint="-0.34998626667073579"/>
      </left>
      <right style="thin">
        <color theme="0" tint="-0.34998626667073579"/>
      </right>
      <top style="thin">
        <color theme="0" tint="-0.34998626667073579"/>
      </top>
      <bottom/>
      <diagonal/>
    </border>
  </borders>
  <cellStyleXfs count="12">
    <xf numFmtId="0" fontId="0" fillId="0" borderId="0"/>
    <xf numFmtId="43" fontId="13" fillId="0" borderId="0" applyFont="0" applyFill="0" applyBorder="0" applyAlignment="0" applyProtection="0"/>
    <xf numFmtId="0" fontId="14" fillId="0" borderId="1" applyNumberFormat="0" applyFill="0" applyAlignment="0" applyProtection="0"/>
    <xf numFmtId="0" fontId="15" fillId="2" borderId="2" applyNumberFormat="0" applyAlignment="0" applyProtection="0"/>
    <xf numFmtId="0" fontId="16" fillId="3" borderId="3" applyNumberFormat="0" applyAlignment="0" applyProtection="0"/>
    <xf numFmtId="0" fontId="22" fillId="2" borderId="2" applyNumberFormat="0" applyAlignment="0" applyProtection="0"/>
    <xf numFmtId="0" fontId="23" fillId="0" borderId="0" applyNumberFormat="0" applyFill="0" applyBorder="0" applyAlignment="0" applyProtection="0"/>
    <xf numFmtId="0" fontId="33" fillId="0" borderId="0" applyFill="0" applyBorder="0">
      <alignment horizontal="left" vertical="top" wrapText="1"/>
    </xf>
    <xf numFmtId="0" fontId="12" fillId="0" borderId="0"/>
    <xf numFmtId="167" fontId="33" fillId="0" borderId="0" applyFill="0" applyBorder="0">
      <alignment horizontal="right" vertical="top"/>
    </xf>
    <xf numFmtId="0" fontId="13" fillId="0" borderId="0"/>
    <xf numFmtId="0" fontId="3" fillId="0" borderId="0"/>
  </cellStyleXfs>
  <cellXfs count="360">
    <xf numFmtId="0" fontId="0" fillId="0" borderId="0" xfId="0"/>
    <xf numFmtId="0" fontId="20" fillId="0" borderId="0" xfId="0" applyFont="1"/>
    <xf numFmtId="0" fontId="21" fillId="0" borderId="0" xfId="0" applyFont="1"/>
    <xf numFmtId="0" fontId="12" fillId="0" borderId="0" xfId="0" applyFont="1"/>
    <xf numFmtId="0" fontId="17" fillId="4" borderId="0" xfId="0" applyFont="1" applyFill="1" applyAlignment="1">
      <alignment wrapText="1"/>
    </xf>
    <xf numFmtId="164" fontId="12" fillId="0" borderId="0" xfId="0" applyNumberFormat="1" applyFont="1"/>
    <xf numFmtId="9" fontId="12" fillId="0" borderId="0" xfId="0" applyNumberFormat="1" applyFont="1"/>
    <xf numFmtId="10" fontId="12" fillId="0" borderId="0" xfId="0" applyNumberFormat="1" applyFont="1"/>
    <xf numFmtId="3" fontId="12" fillId="0" borderId="0" xfId="0" applyNumberFormat="1" applyFont="1"/>
    <xf numFmtId="0" fontId="22" fillId="2" borderId="2" xfId="5"/>
    <xf numFmtId="0" fontId="19" fillId="0" borderId="4" xfId="0" applyFont="1" applyBorder="1"/>
    <xf numFmtId="0" fontId="12" fillId="0" borderId="5" xfId="0" applyFont="1" applyBorder="1"/>
    <xf numFmtId="0" fontId="12" fillId="0" borderId="6" xfId="0" applyFont="1" applyBorder="1"/>
    <xf numFmtId="0" fontId="12" fillId="0" borderId="7" xfId="0" applyFont="1" applyBorder="1"/>
    <xf numFmtId="0" fontId="12" fillId="0" borderId="8" xfId="0" applyFont="1" applyBorder="1"/>
    <xf numFmtId="0" fontId="12" fillId="0" borderId="9" xfId="0" applyFont="1" applyBorder="1"/>
    <xf numFmtId="0" fontId="12" fillId="0" borderId="10" xfId="0" applyFont="1" applyBorder="1"/>
    <xf numFmtId="0" fontId="12" fillId="0" borderId="11" xfId="0" applyFont="1" applyBorder="1"/>
    <xf numFmtId="165" fontId="12" fillId="0" borderId="0" xfId="0" applyNumberFormat="1" applyFont="1"/>
    <xf numFmtId="8" fontId="16" fillId="3" borderId="3" xfId="4" applyNumberFormat="1"/>
    <xf numFmtId="0" fontId="24" fillId="0" borderId="0" xfId="6" applyFont="1"/>
    <xf numFmtId="0" fontId="25" fillId="0" borderId="0" xfId="0" applyFont="1"/>
    <xf numFmtId="0" fontId="26" fillId="0" borderId="0" xfId="0" applyFont="1"/>
    <xf numFmtId="10" fontId="12" fillId="0" borderId="12" xfId="0" applyNumberFormat="1" applyFont="1" applyBorder="1"/>
    <xf numFmtId="3" fontId="12" fillId="0" borderId="0" xfId="0" applyNumberFormat="1" applyFont="1" applyAlignment="1">
      <alignment wrapText="1"/>
    </xf>
    <xf numFmtId="0" fontId="19" fillId="0" borderId="13" xfId="0" applyFont="1" applyBorder="1"/>
    <xf numFmtId="3" fontId="16" fillId="3" borderId="14" xfId="4" applyNumberFormat="1" applyBorder="1"/>
    <xf numFmtId="0" fontId="12" fillId="5" borderId="0" xfId="0" applyFont="1" applyFill="1"/>
    <xf numFmtId="0" fontId="19" fillId="0" borderId="16" xfId="0" applyFont="1" applyBorder="1" applyAlignment="1">
      <alignment horizontal="center"/>
    </xf>
    <xf numFmtId="0" fontId="17" fillId="4" borderId="17" xfId="0" applyFont="1" applyFill="1" applyBorder="1" applyAlignment="1">
      <alignment horizontal="center"/>
    </xf>
    <xf numFmtId="0" fontId="17" fillId="4" borderId="18" xfId="0" applyFont="1" applyFill="1" applyBorder="1" applyAlignment="1">
      <alignment horizontal="left"/>
    </xf>
    <xf numFmtId="0" fontId="17" fillId="4" borderId="19" xfId="0" applyFont="1" applyFill="1" applyBorder="1" applyAlignment="1">
      <alignment horizontal="right" wrapText="1"/>
    </xf>
    <xf numFmtId="0" fontId="17" fillId="4" borderId="20" xfId="0" applyFont="1" applyFill="1" applyBorder="1" applyAlignment="1">
      <alignment horizontal="right"/>
    </xf>
    <xf numFmtId="0" fontId="17" fillId="4" borderId="17" xfId="0" applyFont="1" applyFill="1" applyBorder="1" applyAlignment="1">
      <alignment horizontal="right"/>
    </xf>
    <xf numFmtId="3" fontId="12" fillId="0" borderId="17" xfId="0" applyNumberFormat="1" applyFont="1" applyBorder="1" applyAlignment="1">
      <alignment horizontal="center"/>
    </xf>
    <xf numFmtId="0" fontId="12" fillId="0" borderId="0" xfId="0" applyFont="1" applyAlignment="1">
      <alignment horizontal="left" vertical="top"/>
    </xf>
    <xf numFmtId="3" fontId="12" fillId="0" borderId="20" xfId="0" applyNumberFormat="1" applyFont="1" applyBorder="1" applyAlignment="1">
      <alignment horizontal="right"/>
    </xf>
    <xf numFmtId="0" fontId="17" fillId="4" borderId="0" xfId="0" applyFont="1" applyFill="1" applyAlignment="1">
      <alignment horizontal="center" wrapText="1"/>
    </xf>
    <xf numFmtId="1" fontId="12" fillId="0" borderId="0" xfId="0" quotePrefix="1" applyNumberFormat="1" applyFont="1" applyAlignment="1">
      <alignment horizontal="left"/>
    </xf>
    <xf numFmtId="10" fontId="12" fillId="0" borderId="12" xfId="0" applyNumberFormat="1" applyFont="1" applyBorder="1" applyAlignment="1">
      <alignment horizontal="center"/>
    </xf>
    <xf numFmtId="1" fontId="12" fillId="0" borderId="0" xfId="0" applyNumberFormat="1" applyFont="1" applyAlignment="1">
      <alignment horizontal="left"/>
    </xf>
    <xf numFmtId="0" fontId="28" fillId="0" borderId="0" xfId="0" applyFont="1"/>
    <xf numFmtId="15" fontId="15" fillId="2" borderId="2" xfId="3" applyNumberFormat="1"/>
    <xf numFmtId="15" fontId="12" fillId="0" borderId="0" xfId="0" applyNumberFormat="1" applyFont="1"/>
    <xf numFmtId="15" fontId="16" fillId="3" borderId="3" xfId="4" applyNumberFormat="1"/>
    <xf numFmtId="4" fontId="12" fillId="0" borderId="0" xfId="0" applyNumberFormat="1" applyFont="1"/>
    <xf numFmtId="15" fontId="12" fillId="0" borderId="16" xfId="0" applyNumberFormat="1" applyFont="1" applyBorder="1" applyAlignment="1">
      <alignment horizontal="center"/>
    </xf>
    <xf numFmtId="0" fontId="19" fillId="0" borderId="7" xfId="0" applyFont="1" applyBorder="1"/>
    <xf numFmtId="0" fontId="29" fillId="4" borderId="0" xfId="0" applyFont="1" applyFill="1"/>
    <xf numFmtId="0" fontId="29" fillId="4" borderId="23" xfId="0" applyFont="1" applyFill="1" applyBorder="1"/>
    <xf numFmtId="0" fontId="12" fillId="0" borderId="23" xfId="0" applyFont="1" applyBorder="1"/>
    <xf numFmtId="0" fontId="19" fillId="0" borderId="24" xfId="0" applyFont="1" applyBorder="1"/>
    <xf numFmtId="3" fontId="19" fillId="0" borderId="24" xfId="0" applyNumberFormat="1" applyFont="1" applyBorder="1"/>
    <xf numFmtId="0" fontId="12" fillId="0" borderId="0" xfId="0" applyFont="1" applyAlignment="1">
      <alignment wrapText="1"/>
    </xf>
    <xf numFmtId="0" fontId="15" fillId="2" borderId="2" xfId="3"/>
    <xf numFmtId="0" fontId="12" fillId="0" borderId="0" xfId="0" applyFont="1" applyAlignment="1">
      <alignment horizontal="center"/>
    </xf>
    <xf numFmtId="0" fontId="12" fillId="0" borderId="25" xfId="0" applyFont="1" applyBorder="1" applyAlignment="1">
      <alignment horizontal="center"/>
    </xf>
    <xf numFmtId="0" fontId="19" fillId="0" borderId="0" xfId="0" applyFont="1"/>
    <xf numFmtId="166" fontId="16" fillId="3" borderId="3" xfId="4" applyNumberFormat="1" applyAlignment="1">
      <alignment horizontal="center"/>
    </xf>
    <xf numFmtId="0" fontId="17" fillId="4" borderId="26" xfId="0" applyFont="1" applyFill="1" applyBorder="1" applyAlignment="1">
      <alignment wrapText="1"/>
    </xf>
    <xf numFmtId="0" fontId="12" fillId="0" borderId="26" xfId="0" applyFont="1" applyBorder="1"/>
    <xf numFmtId="0" fontId="30" fillId="0" borderId="0" xfId="0" applyFont="1"/>
    <xf numFmtId="0" fontId="18" fillId="0" borderId="16" xfId="0" applyFont="1" applyBorder="1"/>
    <xf numFmtId="0" fontId="12" fillId="0" borderId="28" xfId="0" applyFont="1" applyBorder="1"/>
    <xf numFmtId="0" fontId="29" fillId="4" borderId="0" xfId="0" applyFont="1" applyFill="1" applyAlignment="1">
      <alignment horizontal="right"/>
    </xf>
    <xf numFmtId="3" fontId="12" fillId="0" borderId="0" xfId="0" applyNumberFormat="1" applyFont="1" applyAlignment="1">
      <alignment horizontal="right"/>
    </xf>
    <xf numFmtId="3" fontId="19" fillId="0" borderId="24" xfId="0" applyNumberFormat="1" applyFont="1" applyBorder="1" applyAlignment="1">
      <alignment horizontal="right"/>
    </xf>
    <xf numFmtId="0" fontId="19" fillId="0" borderId="18" xfId="0" applyFont="1" applyBorder="1"/>
    <xf numFmtId="9" fontId="15" fillId="2" borderId="2" xfId="3" applyNumberFormat="1"/>
    <xf numFmtId="9" fontId="17" fillId="4" borderId="29" xfId="0" applyNumberFormat="1" applyFont="1" applyFill="1" applyBorder="1" applyAlignment="1">
      <alignment horizontal="center"/>
    </xf>
    <xf numFmtId="3" fontId="12" fillId="0" borderId="29" xfId="0" applyNumberFormat="1" applyFont="1" applyBorder="1"/>
    <xf numFmtId="0" fontId="27" fillId="0" borderId="0" xfId="0" applyFont="1"/>
    <xf numFmtId="0" fontId="32" fillId="0" borderId="0" xfId="6" applyFont="1"/>
    <xf numFmtId="0" fontId="27" fillId="0" borderId="0" xfId="0" quotePrefix="1" applyFont="1"/>
    <xf numFmtId="0" fontId="34" fillId="0" borderId="0" xfId="7" applyFont="1" applyAlignment="1">
      <alignment horizontal="left" vertical="top"/>
    </xf>
    <xf numFmtId="0" fontId="30" fillId="0" borderId="0" xfId="8" applyFont="1"/>
    <xf numFmtId="0" fontId="25" fillId="0" borderId="0" xfId="8" applyFont="1"/>
    <xf numFmtId="0" fontId="35" fillId="0" borderId="30" xfId="7" applyFont="1" applyFill="1" applyBorder="1" applyAlignment="1">
      <alignment horizontal="left" vertical="top"/>
    </xf>
    <xf numFmtId="0" fontId="35" fillId="0" borderId="24" xfId="7" applyFont="1" applyFill="1" applyBorder="1" applyAlignment="1">
      <alignment horizontal="center" vertical="top"/>
    </xf>
    <xf numFmtId="0" fontId="35" fillId="0" borderId="30" xfId="7" applyFont="1" applyFill="1" applyBorder="1" applyAlignment="1">
      <alignment horizontal="center" vertical="top"/>
    </xf>
    <xf numFmtId="0" fontId="35" fillId="8" borderId="24" xfId="7" applyFont="1" applyFill="1" applyBorder="1" applyAlignment="1">
      <alignment horizontal="center" vertical="top"/>
    </xf>
    <xf numFmtId="0" fontId="12" fillId="0" borderId="0" xfId="8"/>
    <xf numFmtId="0" fontId="35" fillId="0" borderId="24" xfId="7" applyFont="1" applyFill="1" applyBorder="1" applyAlignment="1">
      <alignment horizontal="center" vertical="center"/>
    </xf>
    <xf numFmtId="0" fontId="35" fillId="0" borderId="30" xfId="7" applyFont="1" applyFill="1" applyBorder="1" applyAlignment="1">
      <alignment horizontal="center" vertical="center"/>
    </xf>
    <xf numFmtId="0" fontId="35" fillId="8" borderId="24" xfId="7" applyFont="1" applyFill="1" applyBorder="1" applyAlignment="1">
      <alignment horizontal="center" vertical="center"/>
    </xf>
    <xf numFmtId="0" fontId="35" fillId="8" borderId="31" xfId="7" applyFont="1" applyFill="1" applyBorder="1" applyAlignment="1">
      <alignment horizontal="left" vertical="top"/>
    </xf>
    <xf numFmtId="0" fontId="12" fillId="0" borderId="0" xfId="8" applyAlignment="1">
      <alignment horizontal="center"/>
    </xf>
    <xf numFmtId="0" fontId="12" fillId="0" borderId="31" xfId="8" applyBorder="1" applyAlignment="1">
      <alignment horizontal="center"/>
    </xf>
    <xf numFmtId="0" fontId="12" fillId="9" borderId="0" xfId="8" applyFill="1" applyAlignment="1">
      <alignment horizontal="center"/>
    </xf>
    <xf numFmtId="0" fontId="35" fillId="0" borderId="31" xfId="7" applyFont="1" applyFill="1" applyBorder="1" applyAlignment="1">
      <alignment horizontal="left" vertical="top"/>
    </xf>
    <xf numFmtId="0" fontId="12" fillId="7" borderId="0" xfId="8" applyFill="1" applyAlignment="1">
      <alignment horizontal="center"/>
    </xf>
    <xf numFmtId="0" fontId="35" fillId="0" borderId="32" xfId="7" applyFont="1" applyFill="1" applyBorder="1" applyAlignment="1">
      <alignment horizontal="left" vertical="top"/>
    </xf>
    <xf numFmtId="0" fontId="12" fillId="0" borderId="18" xfId="8" applyBorder="1" applyAlignment="1">
      <alignment horizontal="center"/>
    </xf>
    <xf numFmtId="0" fontId="12" fillId="0" borderId="32" xfId="8" applyBorder="1" applyAlignment="1">
      <alignment horizontal="center"/>
    </xf>
    <xf numFmtId="0" fontId="35" fillId="0" borderId="16" xfId="7" applyFont="1" applyBorder="1" applyAlignment="1">
      <alignment horizontal="left" vertical="top"/>
    </xf>
    <xf numFmtId="0" fontId="35" fillId="8" borderId="33" xfId="7" applyFont="1" applyFill="1" applyBorder="1" applyAlignment="1">
      <alignment horizontal="center" vertical="top"/>
    </xf>
    <xf numFmtId="0" fontId="35" fillId="0" borderId="33" xfId="7" applyFont="1" applyBorder="1" applyAlignment="1">
      <alignment horizontal="center" vertical="top"/>
    </xf>
    <xf numFmtId="0" fontId="35" fillId="7" borderId="33" xfId="7" applyFont="1" applyFill="1" applyBorder="1" applyAlignment="1">
      <alignment horizontal="center" vertical="top"/>
    </xf>
    <xf numFmtId="0" fontId="36" fillId="8" borderId="31" xfId="7" applyFont="1" applyFill="1" applyBorder="1" applyAlignment="1">
      <alignment horizontal="left" vertical="top"/>
    </xf>
    <xf numFmtId="0" fontId="36" fillId="8" borderId="34" xfId="7" applyFont="1" applyFill="1" applyBorder="1" applyAlignment="1">
      <alignment horizontal="left" vertical="top"/>
    </xf>
    <xf numFmtId="0" fontId="36" fillId="0" borderId="0" xfId="7" quotePrefix="1" applyFont="1" applyFill="1" applyBorder="1" applyAlignment="1">
      <alignment horizontal="left" vertical="top"/>
    </xf>
    <xf numFmtId="0" fontId="36" fillId="0" borderId="31" xfId="7" applyFont="1" applyBorder="1" applyAlignment="1">
      <alignment horizontal="left" vertical="top"/>
    </xf>
    <xf numFmtId="0" fontId="36" fillId="0" borderId="34" xfId="7" applyFont="1" applyBorder="1" applyAlignment="1">
      <alignment horizontal="left" vertical="top"/>
    </xf>
    <xf numFmtId="0" fontId="36" fillId="7" borderId="31" xfId="7" applyFont="1" applyFill="1" applyBorder="1" applyAlignment="1">
      <alignment horizontal="left" vertical="top"/>
    </xf>
    <xf numFmtId="0" fontId="36" fillId="7" borderId="34" xfId="7" applyFont="1" applyFill="1" applyBorder="1" applyAlignment="1">
      <alignment horizontal="left" vertical="top"/>
    </xf>
    <xf numFmtId="0" fontId="36" fillId="0" borderId="32" xfId="7" applyFont="1" applyBorder="1" applyAlignment="1">
      <alignment horizontal="left" vertical="top"/>
    </xf>
    <xf numFmtId="0" fontId="36" fillId="0" borderId="41" xfId="7" applyFont="1" applyBorder="1" applyAlignment="1">
      <alignment horizontal="left" vertical="top"/>
    </xf>
    <xf numFmtId="0" fontId="19" fillId="0" borderId="4" xfId="8" applyFont="1" applyBorder="1"/>
    <xf numFmtId="0" fontId="12" fillId="0" borderId="5" xfId="8" applyBorder="1"/>
    <xf numFmtId="0" fontId="12" fillId="0" borderId="6" xfId="8" applyBorder="1"/>
    <xf numFmtId="0" fontId="12" fillId="0" borderId="7" xfId="8" applyBorder="1"/>
    <xf numFmtId="0" fontId="12" fillId="0" borderId="8" xfId="8" applyBorder="1"/>
    <xf numFmtId="0" fontId="12" fillId="0" borderId="9" xfId="8" applyBorder="1"/>
    <xf numFmtId="0" fontId="12" fillId="0" borderId="10" xfId="8" applyBorder="1"/>
    <xf numFmtId="0" fontId="12" fillId="0" borderId="11" xfId="8" applyBorder="1"/>
    <xf numFmtId="0" fontId="36" fillId="0" borderId="0" xfId="7" applyFont="1">
      <alignment horizontal="left" vertical="top" wrapText="1"/>
    </xf>
    <xf numFmtId="0" fontId="17" fillId="4" borderId="0" xfId="0" applyFont="1" applyFill="1" applyAlignment="1">
      <alignment horizontal="left" wrapText="1"/>
    </xf>
    <xf numFmtId="14" fontId="12" fillId="0" borderId="0" xfId="0" applyNumberFormat="1" applyFont="1"/>
    <xf numFmtId="0" fontId="12" fillId="0" borderId="0" xfId="0" quotePrefix="1" applyFont="1"/>
    <xf numFmtId="0" fontId="36" fillId="0" borderId="28" xfId="7" applyFont="1" applyFill="1" applyBorder="1">
      <alignment horizontal="left" vertical="top" wrapText="1"/>
    </xf>
    <xf numFmtId="167" fontId="36" fillId="0" borderId="28" xfId="9" applyFont="1" applyFill="1" applyBorder="1" applyAlignment="1">
      <alignment horizontal="center" vertical="top"/>
    </xf>
    <xf numFmtId="0" fontId="36" fillId="0" borderId="28" xfId="7" applyFont="1" applyFill="1" applyBorder="1" applyAlignment="1">
      <alignment horizontal="left" vertical="top"/>
    </xf>
    <xf numFmtId="0" fontId="36" fillId="0" borderId="0" xfId="7" applyFont="1" applyAlignment="1">
      <alignment horizontal="left"/>
    </xf>
    <xf numFmtId="0" fontId="36" fillId="0" borderId="0" xfId="7" applyFont="1" applyAlignment="1">
      <alignment horizontal="left" vertical="top"/>
    </xf>
    <xf numFmtId="0" fontId="36" fillId="0" borderId="0" xfId="7" applyFont="1" applyFill="1" applyBorder="1" applyAlignment="1">
      <alignment horizontal="left" vertical="top"/>
    </xf>
    <xf numFmtId="3" fontId="36" fillId="0" borderId="28" xfId="9" applyNumberFormat="1" applyFont="1" applyFill="1" applyBorder="1" applyAlignment="1">
      <alignment horizontal="left" vertical="top"/>
    </xf>
    <xf numFmtId="167" fontId="36" fillId="0" borderId="28" xfId="9" applyFont="1" applyBorder="1" applyAlignment="1">
      <alignment horizontal="left" vertical="top"/>
    </xf>
    <xf numFmtId="0" fontId="36" fillId="0" borderId="28" xfId="7" applyFont="1" applyBorder="1" applyAlignment="1">
      <alignment horizontal="left" vertical="top"/>
    </xf>
    <xf numFmtId="167" fontId="36" fillId="0" borderId="28" xfId="9" applyFont="1" applyFill="1" applyBorder="1" applyAlignment="1">
      <alignment horizontal="left" vertical="top"/>
    </xf>
    <xf numFmtId="0" fontId="36" fillId="0" borderId="0" xfId="7" applyFont="1" applyAlignment="1">
      <alignment horizontal="right" vertical="top" wrapText="1"/>
    </xf>
    <xf numFmtId="0" fontId="12" fillId="10" borderId="0" xfId="0" applyFont="1" applyFill="1"/>
    <xf numFmtId="0" fontId="17" fillId="4" borderId="0" xfId="0" applyFont="1" applyFill="1" applyAlignment="1">
      <alignment horizontal="right" wrapText="1"/>
    </xf>
    <xf numFmtId="1" fontId="36" fillId="0" borderId="28" xfId="7" applyNumberFormat="1" applyFont="1" applyBorder="1">
      <alignment horizontal="left" vertical="top" wrapText="1"/>
    </xf>
    <xf numFmtId="3" fontId="36" fillId="0" borderId="28" xfId="9" applyNumberFormat="1" applyFont="1" applyBorder="1">
      <alignment horizontal="right" vertical="top"/>
    </xf>
    <xf numFmtId="3" fontId="12" fillId="0" borderId="28" xfId="0" applyNumberFormat="1" applyFont="1" applyBorder="1" applyAlignment="1">
      <alignment horizontal="center"/>
    </xf>
    <xf numFmtId="1" fontId="36" fillId="0" borderId="28" xfId="9" quotePrefix="1" applyNumberFormat="1" applyFont="1" applyBorder="1" applyAlignment="1">
      <alignment horizontal="left" vertical="top"/>
    </xf>
    <xf numFmtId="1" fontId="36" fillId="0" borderId="28" xfId="7" quotePrefix="1" applyNumberFormat="1" applyFont="1" applyBorder="1">
      <alignment horizontal="left" vertical="top" wrapText="1"/>
    </xf>
    <xf numFmtId="0" fontId="29" fillId="4" borderId="29" xfId="0" applyFont="1" applyFill="1" applyBorder="1" applyAlignment="1">
      <alignment horizontal="left"/>
    </xf>
    <xf numFmtId="15" fontId="29" fillId="4" borderId="29" xfId="0" applyNumberFormat="1" applyFont="1" applyFill="1" applyBorder="1" applyAlignment="1">
      <alignment horizontal="right"/>
    </xf>
    <xf numFmtId="8" fontId="12" fillId="0" borderId="45" xfId="0" applyNumberFormat="1" applyFont="1" applyBorder="1"/>
    <xf numFmtId="9" fontId="15" fillId="2" borderId="46" xfId="3" applyNumberFormat="1" applyBorder="1"/>
    <xf numFmtId="4" fontId="12" fillId="0" borderId="29" xfId="0" applyNumberFormat="1" applyFont="1" applyBorder="1"/>
    <xf numFmtId="4" fontId="12" fillId="0" borderId="16" xfId="0" applyNumberFormat="1" applyFont="1" applyBorder="1"/>
    <xf numFmtId="15" fontId="12" fillId="0" borderId="0" xfId="0" applyNumberFormat="1" applyFont="1" applyAlignment="1">
      <alignment horizontal="left"/>
    </xf>
    <xf numFmtId="0" fontId="12" fillId="0" borderId="16" xfId="0" applyFont="1" applyBorder="1"/>
    <xf numFmtId="2" fontId="19" fillId="0" borderId="16" xfId="0" applyNumberFormat="1" applyFont="1" applyBorder="1"/>
    <xf numFmtId="0" fontId="12" fillId="0" borderId="0" xfId="0" applyFont="1" applyAlignment="1">
      <alignment horizontal="left"/>
    </xf>
    <xf numFmtId="3" fontId="12" fillId="0" borderId="16" xfId="0" applyNumberFormat="1" applyFont="1" applyBorder="1"/>
    <xf numFmtId="4" fontId="19" fillId="0" borderId="16" xfId="0" applyNumberFormat="1" applyFont="1" applyBorder="1"/>
    <xf numFmtId="0" fontId="17" fillId="4" borderId="29" xfId="0" applyFont="1" applyFill="1" applyBorder="1" applyAlignment="1">
      <alignment wrapText="1"/>
    </xf>
    <xf numFmtId="0" fontId="17" fillId="4" borderId="29" xfId="0" applyFont="1" applyFill="1" applyBorder="1" applyAlignment="1">
      <alignment horizontal="center" wrapText="1"/>
    </xf>
    <xf numFmtId="15" fontId="12" fillId="0" borderId="29" xfId="0" applyNumberFormat="1" applyFont="1" applyBorder="1"/>
    <xf numFmtId="0" fontId="12" fillId="0" borderId="29" xfId="0" applyFont="1" applyBorder="1"/>
    <xf numFmtId="165" fontId="12" fillId="0" borderId="29" xfId="0" applyNumberFormat="1" applyFont="1" applyBorder="1" applyAlignment="1">
      <alignment horizontal="center"/>
    </xf>
    <xf numFmtId="0" fontId="12" fillId="0" borderId="26" xfId="0" applyFont="1" applyBorder="1" applyAlignment="1">
      <alignment horizontal="right"/>
    </xf>
    <xf numFmtId="15" fontId="12" fillId="0" borderId="26" xfId="0" applyNumberFormat="1" applyFont="1" applyBorder="1" applyAlignment="1">
      <alignment horizontal="right"/>
    </xf>
    <xf numFmtId="168" fontId="12" fillId="0" borderId="26" xfId="1" applyNumberFormat="1" applyFont="1" applyBorder="1" applyAlignment="1"/>
    <xf numFmtId="0" fontId="20" fillId="0" borderId="0" xfId="10" applyFont="1"/>
    <xf numFmtId="0" fontId="21" fillId="0" borderId="0" xfId="8" applyFont="1"/>
    <xf numFmtId="0" fontId="37" fillId="11" borderId="47" xfId="2" applyFont="1" applyFill="1" applyBorder="1" applyAlignment="1">
      <alignment vertical="center" wrapText="1"/>
    </xf>
    <xf numFmtId="0" fontId="37" fillId="11" borderId="47" xfId="2" applyFont="1" applyFill="1" applyBorder="1" applyAlignment="1">
      <alignment horizontal="right" vertical="center" wrapText="1"/>
    </xf>
    <xf numFmtId="0" fontId="12" fillId="9" borderId="48" xfId="8" applyFill="1" applyBorder="1"/>
    <xf numFmtId="0" fontId="12" fillId="9" borderId="49" xfId="8" applyFill="1" applyBorder="1"/>
    <xf numFmtId="0" fontId="38" fillId="0" borderId="49" xfId="8" applyFont="1" applyBorder="1"/>
    <xf numFmtId="0" fontId="12" fillId="0" borderId="50" xfId="8" applyBorder="1"/>
    <xf numFmtId="0" fontId="12" fillId="0" borderId="29" xfId="8" applyBorder="1"/>
    <xf numFmtId="0" fontId="38" fillId="0" borderId="29" xfId="8" applyFont="1" applyBorder="1"/>
    <xf numFmtId="0" fontId="12" fillId="12" borderId="50" xfId="8" applyFill="1" applyBorder="1"/>
    <xf numFmtId="0" fontId="12" fillId="12" borderId="29" xfId="8" applyFill="1" applyBorder="1"/>
    <xf numFmtId="0" fontId="12" fillId="13" borderId="50" xfId="8" applyFill="1" applyBorder="1"/>
    <xf numFmtId="0" fontId="12" fillId="13" borderId="29" xfId="8" applyFill="1" applyBorder="1"/>
    <xf numFmtId="0" fontId="38" fillId="14" borderId="29" xfId="8" applyFont="1" applyFill="1" applyBorder="1"/>
    <xf numFmtId="0" fontId="12" fillId="9" borderId="51" xfId="8" applyFill="1" applyBorder="1"/>
    <xf numFmtId="0" fontId="12" fillId="9" borderId="52" xfId="8" applyFill="1" applyBorder="1"/>
    <xf numFmtId="0" fontId="38" fillId="0" borderId="52" xfId="8" applyFont="1" applyBorder="1"/>
    <xf numFmtId="0" fontId="12" fillId="0" borderId="0" xfId="10" applyFont="1"/>
    <xf numFmtId="0" fontId="19" fillId="0" borderId="4" xfId="10" applyFont="1" applyBorder="1"/>
    <xf numFmtId="0" fontId="12" fillId="0" borderId="5" xfId="10" applyFont="1" applyBorder="1"/>
    <xf numFmtId="0" fontId="12" fillId="0" borderId="6" xfId="10" applyFont="1" applyBorder="1"/>
    <xf numFmtId="0" fontId="12" fillId="0" borderId="7" xfId="10" applyFont="1" applyBorder="1"/>
    <xf numFmtId="0" fontId="12" fillId="0" borderId="8" xfId="10" applyFont="1" applyBorder="1"/>
    <xf numFmtId="0" fontId="12" fillId="0" borderId="9" xfId="10" applyFont="1" applyBorder="1"/>
    <xf numFmtId="0" fontId="12" fillId="0" borderId="10" xfId="10" applyFont="1" applyBorder="1"/>
    <xf numFmtId="0" fontId="12" fillId="0" borderId="11" xfId="10" applyFont="1" applyBorder="1"/>
    <xf numFmtId="0" fontId="0" fillId="15" borderId="0" xfId="0" applyFill="1"/>
    <xf numFmtId="0" fontId="19" fillId="9" borderId="4" xfId="0" applyFont="1" applyFill="1" applyBorder="1"/>
    <xf numFmtId="0" fontId="19" fillId="9" borderId="5" xfId="0" applyFont="1" applyFill="1" applyBorder="1"/>
    <xf numFmtId="0" fontId="19" fillId="9" borderId="6" xfId="0" applyFont="1" applyFill="1" applyBorder="1"/>
    <xf numFmtId="0" fontId="12" fillId="9" borderId="7" xfId="0" applyFont="1" applyFill="1" applyBorder="1"/>
    <xf numFmtId="0" fontId="12" fillId="9" borderId="0" xfId="0" applyFont="1" applyFill="1"/>
    <xf numFmtId="0" fontId="12" fillId="9" borderId="8" xfId="0" applyFont="1" applyFill="1" applyBorder="1"/>
    <xf numFmtId="0" fontId="12" fillId="9" borderId="10" xfId="0" applyFont="1" applyFill="1" applyBorder="1"/>
    <xf numFmtId="0" fontId="12" fillId="9" borderId="11" xfId="0" applyFont="1" applyFill="1" applyBorder="1"/>
    <xf numFmtId="0" fontId="28" fillId="9" borderId="4" xfId="0" applyFont="1" applyFill="1" applyBorder="1"/>
    <xf numFmtId="0" fontId="12" fillId="9" borderId="5" xfId="0" applyFont="1" applyFill="1" applyBorder="1"/>
    <xf numFmtId="0" fontId="12" fillId="9" borderId="6" xfId="0" applyFont="1" applyFill="1" applyBorder="1"/>
    <xf numFmtId="0" fontId="12" fillId="9" borderId="9" xfId="0" applyFont="1" applyFill="1" applyBorder="1"/>
    <xf numFmtId="0" fontId="27" fillId="17" borderId="53" xfId="0" applyFont="1" applyFill="1" applyBorder="1"/>
    <xf numFmtId="0" fontId="12" fillId="17" borderId="54" xfId="0" applyFont="1" applyFill="1" applyBorder="1"/>
    <xf numFmtId="0" fontId="12" fillId="17" borderId="55" xfId="0" applyFont="1" applyFill="1" applyBorder="1"/>
    <xf numFmtId="0" fontId="27" fillId="17" borderId="9" xfId="0" applyFont="1" applyFill="1" applyBorder="1"/>
    <xf numFmtId="0" fontId="12" fillId="17" borderId="10" xfId="0" applyFont="1" applyFill="1" applyBorder="1"/>
    <xf numFmtId="0" fontId="12" fillId="17" borderId="11" xfId="0" applyFont="1" applyFill="1" applyBorder="1"/>
    <xf numFmtId="0" fontId="42" fillId="0" borderId="0" xfId="2" applyFont="1" applyBorder="1"/>
    <xf numFmtId="0" fontId="24" fillId="9" borderId="9" xfId="6" applyFont="1" applyFill="1" applyBorder="1"/>
    <xf numFmtId="0" fontId="41" fillId="0" borderId="56" xfId="0" applyFont="1" applyBorder="1"/>
    <xf numFmtId="0" fontId="12" fillId="0" borderId="24" xfId="0" applyFont="1" applyBorder="1"/>
    <xf numFmtId="0" fontId="12" fillId="0" borderId="30" xfId="0" applyFont="1" applyBorder="1"/>
    <xf numFmtId="0" fontId="11" fillId="9" borderId="7" xfId="0" applyFont="1" applyFill="1" applyBorder="1"/>
    <xf numFmtId="0" fontId="10" fillId="0" borderId="0" xfId="0" applyFont="1"/>
    <xf numFmtId="0" fontId="17" fillId="4" borderId="26" xfId="0" applyFont="1" applyFill="1" applyBorder="1"/>
    <xf numFmtId="0" fontId="12" fillId="13" borderId="26" xfId="0" applyFont="1" applyFill="1" applyBorder="1"/>
    <xf numFmtId="0" fontId="12" fillId="14" borderId="26" xfId="0" applyFont="1" applyFill="1" applyBorder="1"/>
    <xf numFmtId="0" fontId="9" fillId="0" borderId="0" xfId="0" applyFont="1"/>
    <xf numFmtId="0" fontId="9" fillId="0" borderId="26" xfId="0" applyFont="1" applyBorder="1"/>
    <xf numFmtId="0" fontId="43" fillId="0" borderId="0" xfId="0" applyFont="1"/>
    <xf numFmtId="0" fontId="9" fillId="0" borderId="0" xfId="0" quotePrefix="1" applyFont="1"/>
    <xf numFmtId="0" fontId="19" fillId="0" borderId="8" xfId="0" applyFont="1" applyBorder="1"/>
    <xf numFmtId="0" fontId="19" fillId="0" borderId="16" xfId="0" applyFont="1" applyBorder="1" applyAlignment="1">
      <alignment wrapText="1"/>
    </xf>
    <xf numFmtId="0" fontId="19" fillId="7" borderId="57" xfId="0" applyFont="1" applyFill="1" applyBorder="1" applyAlignment="1">
      <alignment horizontal="centerContinuous"/>
    </xf>
    <xf numFmtId="0" fontId="9" fillId="0" borderId="35" xfId="8" applyFont="1" applyBorder="1" applyAlignment="1">
      <alignment horizontal="center"/>
    </xf>
    <xf numFmtId="0" fontId="9" fillId="0" borderId="36" xfId="8" applyFont="1" applyBorder="1" applyAlignment="1">
      <alignment horizontal="center"/>
    </xf>
    <xf numFmtId="0" fontId="9" fillId="0" borderId="37" xfId="8" applyFont="1" applyBorder="1" applyAlignment="1">
      <alignment horizontal="center"/>
    </xf>
    <xf numFmtId="0" fontId="9" fillId="0" borderId="38" xfId="8" applyFont="1" applyBorder="1" applyAlignment="1">
      <alignment horizontal="center"/>
    </xf>
    <xf numFmtId="0" fontId="9" fillId="0" borderId="39" xfId="8" applyFont="1" applyBorder="1" applyAlignment="1">
      <alignment horizontal="center"/>
    </xf>
    <xf numFmtId="0" fontId="9" fillId="0" borderId="40" xfId="8" applyFont="1" applyBorder="1" applyAlignment="1">
      <alignment horizontal="center"/>
    </xf>
    <xf numFmtId="0" fontId="9" fillId="14" borderId="39" xfId="8" applyFont="1" applyFill="1" applyBorder="1" applyAlignment="1">
      <alignment horizontal="center"/>
    </xf>
    <xf numFmtId="0" fontId="9" fillId="0" borderId="42" xfId="8" applyFont="1" applyBorder="1" applyAlignment="1">
      <alignment horizontal="center"/>
    </xf>
    <xf numFmtId="0" fontId="9" fillId="0" borderId="43" xfId="8" applyFont="1" applyBorder="1" applyAlignment="1">
      <alignment horizontal="center"/>
    </xf>
    <xf numFmtId="0" fontId="9" fillId="0" borderId="44" xfId="8" applyFont="1" applyBorder="1" applyAlignment="1">
      <alignment horizontal="center"/>
    </xf>
    <xf numFmtId="0" fontId="8" fillId="0" borderId="0" xfId="0" applyFont="1"/>
    <xf numFmtId="169" fontId="12" fillId="0" borderId="0" xfId="0" applyNumberFormat="1" applyFont="1"/>
    <xf numFmtId="4" fontId="19" fillId="0" borderId="4" xfId="0" applyNumberFormat="1" applyFont="1" applyBorder="1"/>
    <xf numFmtId="4" fontId="12" fillId="0" borderId="7" xfId="0" applyNumberFormat="1" applyFont="1" applyBorder="1"/>
    <xf numFmtId="4" fontId="12" fillId="0" borderId="9" xfId="0" applyNumberFormat="1" applyFont="1" applyBorder="1"/>
    <xf numFmtId="15" fontId="19" fillId="0" borderId="0" xfId="0" quotePrefix="1" applyNumberFormat="1" applyFont="1"/>
    <xf numFmtId="15" fontId="19" fillId="0" borderId="0" xfId="0" applyNumberFormat="1" applyFont="1"/>
    <xf numFmtId="0" fontId="7" fillId="0" borderId="0" xfId="0" applyFont="1"/>
    <xf numFmtId="0" fontId="7" fillId="0" borderId="7" xfId="8" applyFont="1" applyBorder="1"/>
    <xf numFmtId="2" fontId="12" fillId="6" borderId="12" xfId="0" applyNumberFormat="1" applyFont="1" applyFill="1" applyBorder="1" applyAlignment="1">
      <alignment horizontal="center"/>
    </xf>
    <xf numFmtId="0" fontId="6" fillId="0" borderId="0" xfId="0" applyFont="1"/>
    <xf numFmtId="10" fontId="6" fillId="0" borderId="12" xfId="0" applyNumberFormat="1" applyFont="1" applyBorder="1" applyAlignment="1">
      <alignment horizontal="center"/>
    </xf>
    <xf numFmtId="0" fontId="23" fillId="0" borderId="0" xfId="6"/>
    <xf numFmtId="0" fontId="28" fillId="0" borderId="16" xfId="0" applyFont="1" applyBorder="1"/>
    <xf numFmtId="10" fontId="38" fillId="0" borderId="15" xfId="0" applyNumberFormat="1" applyFont="1" applyBorder="1"/>
    <xf numFmtId="0" fontId="12" fillId="13" borderId="21" xfId="0" applyFont="1" applyFill="1" applyBorder="1" applyAlignment="1">
      <alignment horizontal="right"/>
    </xf>
    <xf numFmtId="0" fontId="12" fillId="13" borderId="22" xfId="0" applyFont="1" applyFill="1" applyBorder="1" applyAlignment="1">
      <alignment horizontal="right"/>
    </xf>
    <xf numFmtId="0" fontId="12" fillId="13" borderId="16" xfId="0" applyFont="1" applyFill="1" applyBorder="1" applyAlignment="1">
      <alignment horizontal="center"/>
    </xf>
    <xf numFmtId="3" fontId="6" fillId="0" borderId="20" xfId="0" applyNumberFormat="1" applyFont="1" applyBorder="1" applyAlignment="1">
      <alignment horizontal="right"/>
    </xf>
    <xf numFmtId="0" fontId="19" fillId="0" borderId="16" xfId="0" applyFont="1" applyBorder="1"/>
    <xf numFmtId="0" fontId="12" fillId="13" borderId="0" xfId="0" applyFont="1" applyFill="1" applyAlignment="1">
      <alignment horizontal="right"/>
    </xf>
    <xf numFmtId="3" fontId="6" fillId="0" borderId="0" xfId="0" applyNumberFormat="1" applyFont="1" applyAlignment="1">
      <alignment horizontal="right"/>
    </xf>
    <xf numFmtId="0" fontId="6" fillId="0" borderId="0" xfId="0" quotePrefix="1" applyFont="1"/>
    <xf numFmtId="0" fontId="24" fillId="0" borderId="58" xfId="6" applyFont="1" applyBorder="1"/>
    <xf numFmtId="0" fontId="24" fillId="0" borderId="31" xfId="6" applyFont="1" applyBorder="1"/>
    <xf numFmtId="0" fontId="24" fillId="0" borderId="32" xfId="6" applyFont="1" applyBorder="1"/>
    <xf numFmtId="0" fontId="40" fillId="16" borderId="59" xfId="0" applyFont="1" applyFill="1" applyBorder="1" applyAlignment="1">
      <alignment horizontal="center" vertical="center"/>
    </xf>
    <xf numFmtId="0" fontId="40" fillId="16" borderId="60" xfId="0" applyFont="1" applyFill="1" applyBorder="1" applyAlignment="1">
      <alignment horizontal="center" vertical="center"/>
    </xf>
    <xf numFmtId="0" fontId="40" fillId="16" borderId="61" xfId="0" applyFont="1" applyFill="1" applyBorder="1" applyAlignment="1">
      <alignment horizontal="center" vertical="center"/>
    </xf>
    <xf numFmtId="0" fontId="5" fillId="0" borderId="0" xfId="0" applyFont="1"/>
    <xf numFmtId="0" fontId="19" fillId="0" borderId="0" xfId="0" quotePrefix="1" applyFont="1"/>
    <xf numFmtId="0" fontId="28" fillId="0" borderId="0" xfId="0" quotePrefix="1" applyFont="1"/>
    <xf numFmtId="9" fontId="45" fillId="0" borderId="29" xfId="0" applyNumberFormat="1" applyFont="1" applyBorder="1" applyAlignment="1">
      <alignment horizontal="center"/>
    </xf>
    <xf numFmtId="3" fontId="19" fillId="13" borderId="24" xfId="0" applyNumberFormat="1" applyFont="1" applyFill="1" applyBorder="1"/>
    <xf numFmtId="170" fontId="12" fillId="0" borderId="0" xfId="0" applyNumberFormat="1" applyFont="1"/>
    <xf numFmtId="171" fontId="17" fillId="4" borderId="29" xfId="0" applyNumberFormat="1" applyFont="1" applyFill="1" applyBorder="1"/>
    <xf numFmtId="0" fontId="12" fillId="0" borderId="34" xfId="0" applyFont="1" applyBorder="1"/>
    <xf numFmtId="0" fontId="12" fillId="0" borderId="18" xfId="0" applyFont="1" applyBorder="1"/>
    <xf numFmtId="0" fontId="12" fillId="0" borderId="41" xfId="0" applyFont="1" applyBorder="1"/>
    <xf numFmtId="0" fontId="5" fillId="0" borderId="34" xfId="0" applyFont="1" applyBorder="1"/>
    <xf numFmtId="164" fontId="19" fillId="0" borderId="0" xfId="0" applyNumberFormat="1" applyFont="1"/>
    <xf numFmtId="10" fontId="19" fillId="0" borderId="0" xfId="0" applyNumberFormat="1" applyFont="1"/>
    <xf numFmtId="0" fontId="17" fillId="4" borderId="63" xfId="0" applyFont="1" applyFill="1" applyBorder="1" applyAlignment="1">
      <alignment wrapText="1"/>
    </xf>
    <xf numFmtId="0" fontId="17" fillId="4" borderId="64" xfId="0" applyFont="1" applyFill="1" applyBorder="1" applyAlignment="1">
      <alignment wrapText="1"/>
    </xf>
    <xf numFmtId="0" fontId="17" fillId="4" borderId="62" xfId="0" applyFont="1" applyFill="1" applyBorder="1" applyAlignment="1">
      <alignment wrapText="1"/>
    </xf>
    <xf numFmtId="0" fontId="5" fillId="0" borderId="63" xfId="0" applyFont="1" applyBorder="1"/>
    <xf numFmtId="164" fontId="5" fillId="0" borderId="64" xfId="0" applyNumberFormat="1" applyFont="1" applyBorder="1"/>
    <xf numFmtId="9" fontId="5" fillId="0" borderId="62" xfId="0" applyNumberFormat="1" applyFont="1" applyBorder="1"/>
    <xf numFmtId="10" fontId="5" fillId="0" borderId="62" xfId="0" applyNumberFormat="1" applyFont="1" applyBorder="1"/>
    <xf numFmtId="0" fontId="4" fillId="0" borderId="0" xfId="0" applyFont="1"/>
    <xf numFmtId="0" fontId="4" fillId="0" borderId="26" xfId="0" applyFont="1" applyBorder="1" applyAlignment="1">
      <alignment horizontal="center"/>
    </xf>
    <xf numFmtId="3" fontId="12" fillId="0" borderId="26" xfId="0" applyNumberFormat="1" applyFont="1" applyBorder="1" applyAlignment="1">
      <alignment horizontal="center"/>
    </xf>
    <xf numFmtId="0" fontId="17" fillId="4" borderId="26" xfId="0" applyFont="1" applyFill="1" applyBorder="1" applyAlignment="1">
      <alignment horizontal="center"/>
    </xf>
    <xf numFmtId="2" fontId="4" fillId="0" borderId="0" xfId="0" applyNumberFormat="1" applyFont="1"/>
    <xf numFmtId="3" fontId="22" fillId="2" borderId="2" xfId="5" applyNumberFormat="1"/>
    <xf numFmtId="0" fontId="4" fillId="0" borderId="16" xfId="0" applyFont="1" applyBorder="1"/>
    <xf numFmtId="172" fontId="12" fillId="0" borderId="0" xfId="0" applyNumberFormat="1" applyFont="1"/>
    <xf numFmtId="0" fontId="4" fillId="0" borderId="27" xfId="0" applyFont="1" applyBorder="1" applyAlignment="1">
      <alignment horizontal="left" vertical="top" wrapText="1"/>
    </xf>
    <xf numFmtId="0" fontId="4" fillId="0" borderId="0" xfId="0" applyFont="1" applyAlignment="1">
      <alignment wrapText="1"/>
    </xf>
    <xf numFmtId="0" fontId="0" fillId="0" borderId="0" xfId="0" applyAlignment="1">
      <alignment wrapText="1"/>
    </xf>
    <xf numFmtId="0" fontId="12" fillId="0" borderId="65" xfId="0" applyFont="1" applyBorder="1"/>
    <xf numFmtId="0" fontId="46" fillId="4" borderId="28" xfId="0" applyFont="1" applyFill="1" applyBorder="1"/>
    <xf numFmtId="0" fontId="4" fillId="0" borderId="65" xfId="0" applyFont="1" applyBorder="1"/>
    <xf numFmtId="0" fontId="3" fillId="0" borderId="0" xfId="0" applyFont="1"/>
    <xf numFmtId="4" fontId="15" fillId="2" borderId="2" xfId="3" applyNumberFormat="1"/>
    <xf numFmtId="14" fontId="3" fillId="0" borderId="0" xfId="0" applyNumberFormat="1" applyFont="1"/>
    <xf numFmtId="0" fontId="3" fillId="0" borderId="0" xfId="0" applyFont="1" applyAlignment="1">
      <alignment horizontal="center"/>
    </xf>
    <xf numFmtId="0" fontId="0" fillId="0" borderId="0" xfId="0" pivotButton="1"/>
    <xf numFmtId="0" fontId="0" fillId="0" borderId="0" xfId="0" applyAlignment="1">
      <alignment horizontal="left"/>
    </xf>
    <xf numFmtId="3" fontId="12" fillId="0" borderId="28" xfId="0" applyNumberFormat="1" applyFont="1" applyBorder="1"/>
    <xf numFmtId="3" fontId="12" fillId="0" borderId="65" xfId="0" applyNumberFormat="1" applyFont="1" applyBorder="1"/>
    <xf numFmtId="0" fontId="0" fillId="13" borderId="0" xfId="0" applyFill="1" applyAlignment="1">
      <alignment horizontal="left"/>
    </xf>
    <xf numFmtId="0" fontId="47" fillId="0" borderId="0" xfId="0" applyFont="1"/>
    <xf numFmtId="10" fontId="0" fillId="0" borderId="0" xfId="0" applyNumberFormat="1"/>
    <xf numFmtId="10" fontId="0" fillId="13" borderId="0" xfId="0" applyNumberFormat="1" applyFill="1"/>
    <xf numFmtId="3" fontId="19" fillId="0" borderId="0" xfId="0" applyNumberFormat="1" applyFont="1"/>
    <xf numFmtId="0" fontId="20" fillId="0" borderId="0" xfId="11" applyFont="1"/>
    <xf numFmtId="0" fontId="3" fillId="0" borderId="0" xfId="11"/>
    <xf numFmtId="0" fontId="19" fillId="0" borderId="0" xfId="11" applyFont="1"/>
    <xf numFmtId="0" fontId="17" fillId="4" borderId="28" xfId="11" applyFont="1" applyFill="1" applyBorder="1" applyAlignment="1">
      <alignment horizontal="center" wrapText="1"/>
    </xf>
    <xf numFmtId="0" fontId="3" fillId="0" borderId="28" xfId="11" applyBorder="1" applyAlignment="1">
      <alignment horizontal="center"/>
    </xf>
    <xf numFmtId="3" fontId="3" fillId="0" borderId="28" xfId="11" applyNumberFormat="1" applyBorder="1" applyAlignment="1">
      <alignment horizontal="center"/>
    </xf>
    <xf numFmtId="15" fontId="28" fillId="0" borderId="0" xfId="11" applyNumberFormat="1" applyFont="1"/>
    <xf numFmtId="0" fontId="3" fillId="0" borderId="5" xfId="10" applyFont="1" applyBorder="1"/>
    <xf numFmtId="0" fontId="3" fillId="0" borderId="6" xfId="10" applyFont="1" applyBorder="1"/>
    <xf numFmtId="0" fontId="3" fillId="0" borderId="0" xfId="10" applyFont="1"/>
    <xf numFmtId="0" fontId="3" fillId="0" borderId="7" xfId="10" applyFont="1" applyBorder="1"/>
    <xf numFmtId="0" fontId="3" fillId="0" borderId="8" xfId="10" applyFont="1" applyBorder="1"/>
    <xf numFmtId="0" fontId="19" fillId="0" borderId="7" xfId="10" applyFont="1" applyBorder="1"/>
    <xf numFmtId="0" fontId="3" fillId="0" borderId="9" xfId="10" applyFont="1" applyBorder="1"/>
    <xf numFmtId="0" fontId="3" fillId="0" borderId="10" xfId="10" applyFont="1" applyBorder="1"/>
    <xf numFmtId="0" fontId="3" fillId="0" borderId="11" xfId="10" applyFont="1" applyBorder="1"/>
    <xf numFmtId="0" fontId="28" fillId="0" borderId="0" xfId="11" applyFont="1"/>
    <xf numFmtId="3" fontId="3" fillId="0" borderId="0" xfId="11" applyNumberFormat="1"/>
    <xf numFmtId="3" fontId="3" fillId="13" borderId="28" xfId="11" applyNumberFormat="1" applyFill="1" applyBorder="1" applyAlignment="1">
      <alignment horizontal="center"/>
    </xf>
    <xf numFmtId="0" fontId="3" fillId="13" borderId="0" xfId="11" applyFill="1"/>
    <xf numFmtId="0" fontId="3" fillId="0" borderId="16" xfId="11" applyBorder="1"/>
    <xf numFmtId="0" fontId="12" fillId="13" borderId="23" xfId="0" applyFont="1" applyFill="1" applyBorder="1"/>
    <xf numFmtId="0" fontId="12" fillId="12" borderId="23" xfId="0" applyFont="1" applyFill="1" applyBorder="1"/>
    <xf numFmtId="0" fontId="36" fillId="12" borderId="28" xfId="7" applyFont="1" applyFill="1" applyBorder="1">
      <alignment horizontal="left" vertical="top" wrapText="1"/>
    </xf>
    <xf numFmtId="167" fontId="36" fillId="12" borderId="28" xfId="9" applyFont="1" applyFill="1" applyBorder="1" applyAlignment="1">
      <alignment horizontal="center" vertical="top"/>
    </xf>
    <xf numFmtId="0" fontId="3" fillId="0" borderId="0" xfId="0" quotePrefix="1" applyFont="1"/>
    <xf numFmtId="0" fontId="28" fillId="0" borderId="7" xfId="0" applyFont="1" applyBorder="1"/>
    <xf numFmtId="0" fontId="28" fillId="0" borderId="8" xfId="0" applyFont="1" applyBorder="1"/>
    <xf numFmtId="0" fontId="12" fillId="0" borderId="56" xfId="0" applyFont="1" applyBorder="1" applyAlignment="1">
      <alignment horizontal="centerContinuous"/>
    </xf>
    <xf numFmtId="0" fontId="12" fillId="0" borderId="24" xfId="0" applyFont="1" applyBorder="1" applyAlignment="1">
      <alignment horizontal="centerContinuous"/>
    </xf>
    <xf numFmtId="0" fontId="12" fillId="0" borderId="30" xfId="0" applyFont="1" applyBorder="1" applyAlignment="1">
      <alignment horizontal="centerContinuous"/>
    </xf>
    <xf numFmtId="0" fontId="3" fillId="0" borderId="56" xfId="0" applyFont="1" applyBorder="1"/>
    <xf numFmtId="0" fontId="3" fillId="0" borderId="24" xfId="0" applyFont="1" applyBorder="1"/>
    <xf numFmtId="0" fontId="3" fillId="0" borderId="30" xfId="0" applyFont="1" applyBorder="1"/>
    <xf numFmtId="0" fontId="3" fillId="0" borderId="0" xfId="8" applyFont="1"/>
    <xf numFmtId="0" fontId="19" fillId="0" borderId="0" xfId="8" applyFont="1"/>
    <xf numFmtId="0" fontId="35" fillId="18" borderId="31" xfId="7" applyFont="1" applyFill="1" applyBorder="1" applyAlignment="1">
      <alignment horizontal="left" vertical="top"/>
    </xf>
    <xf numFmtId="0" fontId="12" fillId="18" borderId="0" xfId="8" applyFill="1" applyAlignment="1">
      <alignment horizontal="center"/>
    </xf>
    <xf numFmtId="0" fontId="12" fillId="18" borderId="31" xfId="8" applyFill="1" applyBorder="1" applyAlignment="1">
      <alignment horizontal="center"/>
    </xf>
    <xf numFmtId="0" fontId="35" fillId="18" borderId="32" xfId="7" applyFont="1" applyFill="1" applyBorder="1" applyAlignment="1">
      <alignment horizontal="left" vertical="top"/>
    </xf>
    <xf numFmtId="0" fontId="12" fillId="18" borderId="18" xfId="8" applyFill="1" applyBorder="1" applyAlignment="1">
      <alignment horizontal="center"/>
    </xf>
    <xf numFmtId="0" fontId="12" fillId="18" borderId="32" xfId="8" applyFill="1" applyBorder="1" applyAlignment="1">
      <alignment horizontal="center"/>
    </xf>
    <xf numFmtId="0" fontId="35" fillId="18" borderId="24" xfId="7" applyFont="1" applyFill="1" applyBorder="1" applyAlignment="1">
      <alignment horizontal="center" vertical="top"/>
    </xf>
    <xf numFmtId="0" fontId="35" fillId="18" borderId="30" xfId="7" applyFont="1" applyFill="1" applyBorder="1" applyAlignment="1">
      <alignment horizontal="center" vertical="top"/>
    </xf>
    <xf numFmtId="0" fontId="35" fillId="18" borderId="24" xfId="7" applyFont="1" applyFill="1" applyBorder="1" applyAlignment="1">
      <alignment horizontal="center" vertical="center"/>
    </xf>
    <xf numFmtId="0" fontId="35" fillId="18" borderId="30" xfId="7" applyFont="1" applyFill="1" applyBorder="1" applyAlignment="1">
      <alignment horizontal="center" vertical="center"/>
    </xf>
    <xf numFmtId="0" fontId="19" fillId="0" borderId="7" xfId="8" applyFont="1" applyBorder="1"/>
    <xf numFmtId="0" fontId="19" fillId="0" borderId="8" xfId="8" applyFont="1" applyBorder="1"/>
    <xf numFmtId="0" fontId="36" fillId="13" borderId="28" xfId="7" applyFont="1" applyFill="1" applyBorder="1">
      <alignment horizontal="left" vertical="top" wrapText="1"/>
    </xf>
    <xf numFmtId="167" fontId="36" fillId="13" borderId="28" xfId="9" applyFont="1" applyFill="1" applyBorder="1" applyAlignment="1">
      <alignment horizontal="center" vertical="top"/>
    </xf>
    <xf numFmtId="0" fontId="2" fillId="0" borderId="0" xfId="0" applyFont="1"/>
    <xf numFmtId="49" fontId="3" fillId="0" borderId="28" xfId="0" quotePrefix="1" applyNumberFormat="1" applyFont="1" applyBorder="1"/>
    <xf numFmtId="14" fontId="12" fillId="0" borderId="0" xfId="0" applyNumberFormat="1" applyFont="1" applyAlignment="1">
      <alignment horizontal="left"/>
    </xf>
    <xf numFmtId="9" fontId="0" fillId="0" borderId="0" xfId="0" applyNumberFormat="1"/>
  </cellXfs>
  <cellStyles count="12">
    <cellStyle name="Comma" xfId="1" builtinId="3"/>
    <cellStyle name="EY0dp" xfId="9" xr:uid="{03AB5C3A-7106-4F1E-A6CB-B5B8B543639B}"/>
    <cellStyle name="EYtext" xfId="7" xr:uid="{9C704FC0-29DC-4192-88FB-777DBCDB138F}"/>
    <cellStyle name="Heading 3" xfId="2" builtinId="18"/>
    <cellStyle name="Hyperlink" xfId="6" builtinId="8"/>
    <cellStyle name="Input" xfId="3" builtinId="20"/>
    <cellStyle name="Input 2" xfId="5" xr:uid="{BF9A1340-1BCA-49F0-B4E6-6F928A031485}"/>
    <cellStyle name="Normal" xfId="0" builtinId="0"/>
    <cellStyle name="Normal 2" xfId="8" xr:uid="{101050A8-E098-44BC-A0A7-B48ACE698982}"/>
    <cellStyle name="Normal 2 2" xfId="10" xr:uid="{3FC7AB7E-5175-4CA9-9FA7-04954C410DD6}"/>
    <cellStyle name="Normal 3" xfId="11" xr:uid="{A6C4219C-C090-467C-B10E-E49B3CBF46FE}"/>
    <cellStyle name="Output" xfId="4" builtinId="21"/>
  </cellStyles>
  <dxfs count="30">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0"/>
        <color theme="1"/>
        <name val="Arial"/>
        <family val="2"/>
        <scheme val="none"/>
      </font>
      <numFmt numFmtId="13" formatCode="0%"/>
    </dxf>
    <dxf>
      <font>
        <b val="0"/>
        <i val="0"/>
        <strike val="0"/>
        <condense val="0"/>
        <extend val="0"/>
        <outline val="0"/>
        <shadow val="0"/>
        <u val="none"/>
        <vertAlign val="baseline"/>
        <sz val="10"/>
        <color theme="1"/>
        <name val="Arial"/>
        <family val="2"/>
        <scheme val="none"/>
      </font>
    </dxf>
    <dxf>
      <font>
        <b val="0"/>
        <i val="0"/>
        <strike val="0"/>
        <condense val="0"/>
        <extend val="0"/>
        <outline val="0"/>
        <shadow val="0"/>
        <u val="none"/>
        <vertAlign val="baseline"/>
        <sz val="10"/>
        <color theme="1"/>
        <name val="Arial"/>
        <family val="2"/>
        <scheme val="none"/>
      </font>
    </dxf>
    <dxf>
      <font>
        <b val="0"/>
        <i val="0"/>
        <strike val="0"/>
        <condense val="0"/>
        <extend val="0"/>
        <outline val="0"/>
        <shadow val="0"/>
        <u val="none"/>
        <vertAlign val="baseline"/>
        <sz val="10"/>
        <color theme="1"/>
        <name val="Arial"/>
        <family val="2"/>
        <scheme val="none"/>
      </font>
      <numFmt numFmtId="14" formatCode="0.00%"/>
      <fill>
        <patternFill patternType="none">
          <fgColor indexed="64"/>
          <bgColor indexed="65"/>
        </patternFill>
      </fill>
      <border diagonalUp="0" diagonalDown="0">
        <left style="medium">
          <color theme="0" tint="-0.499984740745262"/>
        </left>
        <right/>
        <top/>
        <bottom/>
        <vertical style="medium">
          <color theme="0" tint="-0.499984740745262"/>
        </vertical>
        <horizontal/>
      </border>
    </dxf>
    <dxf>
      <font>
        <b val="0"/>
        <i val="0"/>
        <strike val="0"/>
        <condense val="0"/>
        <extend val="0"/>
        <outline val="0"/>
        <shadow val="0"/>
        <u val="none"/>
        <vertAlign val="baseline"/>
        <sz val="10"/>
        <color theme="1"/>
        <name val="Arial"/>
        <family val="2"/>
        <scheme val="none"/>
      </font>
      <numFmt numFmtId="164" formatCode="#,##0.0"/>
      <fill>
        <patternFill patternType="none">
          <fgColor indexed="64"/>
          <bgColor indexed="65"/>
        </patternFill>
      </fill>
      <border diagonalUp="0" diagonalDown="0">
        <left style="medium">
          <color theme="0" tint="-0.499984740745262"/>
        </left>
        <right style="medium">
          <color theme="0" tint="-0.499984740745262"/>
        </right>
        <top/>
        <bottom/>
        <vertical style="medium">
          <color theme="0" tint="-0.499984740745262"/>
        </vertical>
        <horizontal/>
      </border>
    </dxf>
    <dxf>
      <font>
        <b val="0"/>
        <i val="0"/>
        <strike val="0"/>
        <condense val="0"/>
        <extend val="0"/>
        <outline val="0"/>
        <shadow val="0"/>
        <u val="none"/>
        <vertAlign val="baseline"/>
        <sz val="10"/>
        <color theme="1"/>
        <name val="Arial"/>
        <family val="2"/>
        <scheme val="none"/>
      </font>
      <fill>
        <patternFill patternType="none">
          <fgColor indexed="64"/>
          <bgColor indexed="65"/>
        </patternFill>
      </fill>
      <border diagonalUp="0" diagonalDown="0">
        <left/>
        <right style="medium">
          <color theme="0" tint="-0.499984740745262"/>
        </right>
        <top/>
        <bottom/>
        <vertical style="medium">
          <color theme="0" tint="-0.499984740745262"/>
        </vertical>
        <horizontal/>
      </border>
    </dxf>
    <dxf>
      <border diagonalUp="0" diagonalDown="0">
        <left style="medium">
          <color theme="0" tint="-0.499984740745262"/>
        </left>
        <right style="medium">
          <color theme="0" tint="-0.499984740745262"/>
        </right>
        <top style="medium">
          <color theme="0" tint="-0.499984740745262"/>
        </top>
        <bottom style="medium">
          <color theme="0" tint="-0.499984740745262"/>
        </bottom>
      </border>
    </dxf>
    <dxf>
      <font>
        <b/>
        <i val="0"/>
        <strike val="0"/>
        <condense val="0"/>
        <extend val="0"/>
        <outline val="0"/>
        <shadow val="0"/>
        <u val="none"/>
        <vertAlign val="baseline"/>
        <sz val="10"/>
        <color theme="0"/>
        <name val="Arial"/>
        <family val="2"/>
        <scheme val="none"/>
      </font>
      <fill>
        <patternFill patternType="solid">
          <fgColor indexed="64"/>
          <bgColor rgb="FF002060"/>
        </patternFill>
      </fill>
      <alignment horizontal="general" vertical="bottom" textRotation="0" wrapText="1" indent="0" justifyLastLine="0" shrinkToFit="0" readingOrder="0"/>
      <border diagonalUp="0" diagonalDown="0">
        <left style="medium">
          <color theme="0" tint="-0.499984740745262"/>
        </left>
        <right style="medium">
          <color theme="0" tint="-0.499984740745262"/>
        </right>
        <top/>
        <bottom/>
        <vertical style="medium">
          <color theme="0" tint="-0.499984740745262"/>
        </vertical>
        <horizontal/>
      </border>
    </dxf>
    <dxf>
      <font>
        <b val="0"/>
        <i val="0"/>
        <strike val="0"/>
        <condense val="0"/>
        <extend val="0"/>
        <outline val="0"/>
        <shadow val="0"/>
        <u val="none"/>
        <vertAlign val="baseline"/>
        <sz val="10"/>
        <color theme="1"/>
        <name val="Arial"/>
        <family val="2"/>
        <scheme val="none"/>
      </font>
      <numFmt numFmtId="3" formatCode="#,##0"/>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font>
        <b val="0"/>
        <i val="0"/>
        <strike val="0"/>
        <condense val="0"/>
        <extend val="0"/>
        <outline val="0"/>
        <shadow val="0"/>
        <u val="none"/>
        <vertAlign val="baseline"/>
        <sz val="10"/>
        <color theme="1"/>
        <name val="Arial"/>
        <family val="2"/>
        <scheme val="none"/>
      </font>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font>
        <b val="0"/>
        <i val="0"/>
        <strike val="0"/>
        <condense val="0"/>
        <extend val="0"/>
        <outline val="0"/>
        <shadow val="0"/>
        <u val="none"/>
        <vertAlign val="baseline"/>
        <sz val="10"/>
        <color theme="1"/>
        <name val="Arial"/>
        <family val="2"/>
        <scheme val="none"/>
      </font>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font>
        <b val="0"/>
        <i val="0"/>
        <strike val="0"/>
        <condense val="0"/>
        <extend val="0"/>
        <outline val="0"/>
        <shadow val="0"/>
        <u val="none"/>
        <vertAlign val="baseline"/>
        <sz val="10"/>
        <color theme="1"/>
        <name val="Arial"/>
        <family val="2"/>
        <scheme val="none"/>
      </font>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font>
        <b val="0"/>
        <i val="0"/>
        <strike val="0"/>
        <condense val="0"/>
        <extend val="0"/>
        <outline val="0"/>
        <shadow val="0"/>
        <u val="none"/>
        <vertAlign val="baseline"/>
        <sz val="10"/>
        <color theme="1"/>
        <name val="Arial"/>
        <family val="2"/>
        <scheme val="none"/>
      </font>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border outline="0">
        <bottom style="thin">
          <color theme="0" tint="-0.34998626667073579"/>
        </bottom>
      </border>
    </dxf>
    <dxf>
      <font>
        <b val="0"/>
        <i val="0"/>
        <strike val="0"/>
        <condense val="0"/>
        <extend val="0"/>
        <outline val="0"/>
        <shadow val="0"/>
        <u val="none"/>
        <vertAlign val="baseline"/>
        <sz val="10"/>
        <color theme="1"/>
        <name val="Arial"/>
        <family val="2"/>
        <scheme val="none"/>
      </font>
    </dxf>
    <dxf>
      <font>
        <b/>
        <i val="0"/>
        <strike val="0"/>
        <condense val="0"/>
        <extend val="0"/>
        <outline val="0"/>
        <shadow val="0"/>
        <u val="none"/>
        <vertAlign val="baseline"/>
        <sz val="10"/>
        <color theme="0"/>
        <name val="Arial"/>
        <family val="2"/>
        <scheme val="none"/>
      </font>
      <fill>
        <patternFill patternType="solid">
          <fgColor indexed="64"/>
          <bgColor rgb="FF002060"/>
        </patternFill>
      </fill>
      <alignment horizontal="general" vertical="bottom" textRotation="0" wrapText="1" indent="0" justifyLastLine="0" shrinkToFit="0" readingOrder="0"/>
    </dxf>
    <dxf>
      <numFmt numFmtId="14" formatCode="0.00%"/>
    </dxf>
    <dxf>
      <numFmt numFmtId="170" formatCode="0.0%"/>
    </dxf>
    <dxf>
      <fill>
        <patternFill patternType="solid">
          <bgColor rgb="FFFFFF00"/>
        </patternFill>
      </fill>
    </dxf>
    <dxf>
      <fill>
        <patternFill patternType="solid">
          <bgColor rgb="FFFFFF00"/>
        </patternFill>
      </fill>
    </dxf>
    <dxf>
      <fill>
        <patternFill patternType="solid">
          <bgColor rgb="FFFFFF00"/>
        </patternFill>
      </fill>
    </dxf>
    <dxf>
      <fill>
        <patternFill patternType="solid">
          <bgColor rgb="FFFFFF00"/>
        </patternFill>
      </fill>
    </dxf>
    <dxf>
      <font>
        <b val="0"/>
        <i val="0"/>
        <strike val="0"/>
        <condense val="0"/>
        <extend val="0"/>
        <outline val="0"/>
        <shadow val="0"/>
        <u val="none"/>
        <vertAlign val="baseline"/>
        <sz val="10"/>
        <color theme="1"/>
        <name val="Arial"/>
        <family val="2"/>
        <scheme val="none"/>
      </font>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font>
        <b val="0"/>
        <i val="0"/>
        <strike val="0"/>
        <condense val="0"/>
        <extend val="0"/>
        <outline val="0"/>
        <shadow val="0"/>
        <u val="none"/>
        <vertAlign val="baseline"/>
        <sz val="10"/>
        <color theme="1"/>
        <name val="Arial"/>
        <family val="2"/>
        <scheme val="none"/>
      </font>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font>
        <b val="0"/>
        <i val="0"/>
        <strike val="0"/>
        <condense val="0"/>
        <extend val="0"/>
        <outline val="0"/>
        <shadow val="0"/>
        <u val="none"/>
        <vertAlign val="baseline"/>
        <sz val="10"/>
        <color theme="1"/>
        <name val="Arial"/>
        <family val="2"/>
        <scheme val="none"/>
      </font>
      <border diagonalUp="0" diagonalDown="0">
        <left style="thin">
          <color theme="0" tint="-0.34998626667073579"/>
        </left>
        <right style="thin">
          <color theme="0" tint="-0.34998626667073579"/>
        </right>
        <top style="thin">
          <color theme="0" tint="-0.34998626667073579"/>
        </top>
        <bottom style="thin">
          <color theme="0" tint="-0.34998626667073579"/>
        </bottom>
        <vertical/>
        <horizontal/>
      </border>
    </dxf>
    <dxf>
      <border outline="0">
        <bottom style="thin">
          <color theme="0" tint="-0.34998626667073579"/>
        </bottom>
      </border>
    </dxf>
    <dxf>
      <font>
        <b val="0"/>
        <i val="0"/>
        <strike val="0"/>
        <condense val="0"/>
        <extend val="0"/>
        <outline val="0"/>
        <shadow val="0"/>
        <u val="none"/>
        <vertAlign val="baseline"/>
        <sz val="10"/>
        <color theme="1"/>
        <name val="Arial"/>
        <family val="2"/>
        <scheme val="none"/>
      </font>
    </dxf>
    <dxf>
      <font>
        <b/>
        <i val="0"/>
        <strike val="0"/>
        <condense val="0"/>
        <extend val="0"/>
        <outline val="0"/>
        <shadow val="0"/>
        <u val="none"/>
        <vertAlign val="baseline"/>
        <sz val="10"/>
        <color theme="0"/>
        <name val="Arial"/>
        <family val="2"/>
        <scheme val="none"/>
      </font>
      <fill>
        <patternFill patternType="solid">
          <fgColor indexed="64"/>
          <bgColor rgb="FF002060"/>
        </patternFill>
      </fill>
      <alignment horizontal="general" vertical="bottom" textRotation="0" wrapText="1" indent="0" justifyLastLine="0" shrinkToFit="0" readingOrder="0"/>
    </dxf>
  </dxfs>
  <tableStyles count="1" defaultTableStyle="TableStyleMedium2" defaultPivotStyle="PivotStyleLight16">
    <tableStyle name="Invisible" pivot="0" table="0" count="0" xr9:uid="{31BB62D7-A470-4A56-9727-609C57DB9D1A}"/>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microsoft.com/office/2017/06/relationships/rdSupportingPropertyBag" Target="richData/rdsupportingpropertybag.xml"/><Relationship Id="rId21" Type="http://schemas.openxmlformats.org/officeDocument/2006/relationships/worksheet" Target="worksheets/sheet21.xml"/><Relationship Id="rId34" Type="http://schemas.openxmlformats.org/officeDocument/2006/relationships/sheetMetadata" Target="metadata.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tyles" Target="styles.xml"/><Relationship Id="rId37" Type="http://schemas.microsoft.com/office/2017/06/relationships/richStyles" Target="richData/richStyles.xml"/><Relationship Id="rId40" Type="http://schemas.microsoft.com/office/2017/06/relationships/rdRichValueTypes" Target="richData/rdRichValueTyp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microsoft.com/office/2017/06/relationships/rdRichValueStructure" Target="richData/rdrichvaluestructure.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pivotCacheDefinition" Target="pivotCache/pivotCacheDefinition1.xml"/><Relationship Id="rId35" Type="http://schemas.microsoft.com/office/2017/06/relationships/rdRichValue" Target="richData/rdrichvalue.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haredStrings" Target="sharedStrings.xml"/><Relationship Id="rId38" Type="http://schemas.microsoft.com/office/2017/06/relationships/rdSupportingPropertyBagStructure" Target="richData/rdsupportingpropertybagstructure.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'Data visualization'!$A$20</c:f>
          <c:strCache>
            <c:ptCount val="1"/>
            <c:pt idx="0">
              <c:v>Economic data of India</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0"/>
          <c:order val="0"/>
          <c:tx>
            <c:strRef>
              <c:f>'Data visualization'!$B$5</c:f>
              <c:strCache>
                <c:ptCount val="1"/>
                <c:pt idx="0">
                  <c:v>GDP (INR Mn)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'Data visualization'!$A$6:$A$13</c:f>
              <c:strCache>
                <c:ptCount val="8"/>
                <c:pt idx="0">
                  <c:v>Q1FY22</c:v>
                </c:pt>
                <c:pt idx="1">
                  <c:v>Q2FY22</c:v>
                </c:pt>
                <c:pt idx="2">
                  <c:v>Q3FY22</c:v>
                </c:pt>
                <c:pt idx="3">
                  <c:v>Q4FY22</c:v>
                </c:pt>
                <c:pt idx="4">
                  <c:v>Q1FY23</c:v>
                </c:pt>
                <c:pt idx="5">
                  <c:v>Q2FY23</c:v>
                </c:pt>
                <c:pt idx="6">
                  <c:v>Q3FY23</c:v>
                </c:pt>
                <c:pt idx="7">
                  <c:v>Q4FY23</c:v>
                </c:pt>
              </c:strCache>
            </c:strRef>
          </c:cat>
          <c:val>
            <c:numRef>
              <c:f>'Data visualization'!$B$6:$B$13</c:f>
              <c:numCache>
                <c:formatCode>#,##0.0</c:formatCode>
                <c:ptCount val="8"/>
                <c:pt idx="0">
                  <c:v>5.4</c:v>
                </c:pt>
                <c:pt idx="1">
                  <c:v>4.0999999999999996</c:v>
                </c:pt>
                <c:pt idx="2">
                  <c:v>13.5</c:v>
                </c:pt>
                <c:pt idx="3">
                  <c:v>6.3</c:v>
                </c:pt>
                <c:pt idx="4">
                  <c:v>4.4000000000000004</c:v>
                </c:pt>
                <c:pt idx="5">
                  <c:v>6.1</c:v>
                </c:pt>
                <c:pt idx="6">
                  <c:v>10</c:v>
                </c:pt>
                <c:pt idx="7">
                  <c:v>20</c:v>
                </c:pt>
              </c:numCache>
            </c:numRef>
          </c:val>
          <c:extLst>
            <c:ext xmlns:c16="http://schemas.microsoft.com/office/drawing/2014/chart" uri="{C3380CC4-5D6E-409C-BE32-E72D297353CC}">
              <c16:uniqueId val="{00000000-F4DF-436A-A928-1C1F9B33326D}"/>
            </c:ext>
          </c:extLst>
        </c:ser>
        <c:dLbls>
          <c:showLegendKey val="0"/>
          <c:showVal val="1"/>
          <c:showCatName val="0"/>
          <c:showSerName val="0"/>
          <c:showPercent val="0"/>
          <c:showBubbleSize val="0"/>
        </c:dLbls>
        <c:gapWidth val="219"/>
        <c:overlap val="-27"/>
        <c:axId val="1973456159"/>
        <c:axId val="1945456815"/>
      </c:barChart>
      <c:lineChart>
        <c:grouping val="standard"/>
        <c:varyColors val="0"/>
        <c:ser>
          <c:idx val="1"/>
          <c:order val="1"/>
          <c:tx>
            <c:strRef>
              <c:f>'Data visualization'!$C$5</c:f>
              <c:strCache>
                <c:ptCount val="1"/>
                <c:pt idx="0">
                  <c:v>Share in World GDP (%)</c:v>
                </c:pt>
              </c:strCache>
            </c:strRef>
          </c:tx>
          <c:spPr>
            <a:ln w="28575" cap="rnd">
              <a:solidFill>
                <a:schemeClr val="accent2"/>
              </a:solidFill>
              <a:round/>
            </a:ln>
            <a:effectLst/>
          </c:spPr>
          <c:marker>
            <c:symbol val="none"/>
          </c:marker>
          <c:dLbls>
            <c:delete val="1"/>
          </c:dLbls>
          <c:cat>
            <c:strRef>
              <c:f>'Data visualization'!$A$6:$A$13</c:f>
              <c:strCache>
                <c:ptCount val="8"/>
                <c:pt idx="0">
                  <c:v>Q1FY22</c:v>
                </c:pt>
                <c:pt idx="1">
                  <c:v>Q2FY22</c:v>
                </c:pt>
                <c:pt idx="2">
                  <c:v>Q3FY22</c:v>
                </c:pt>
                <c:pt idx="3">
                  <c:v>Q4FY22</c:v>
                </c:pt>
                <c:pt idx="4">
                  <c:v>Q1FY23</c:v>
                </c:pt>
                <c:pt idx="5">
                  <c:v>Q2FY23</c:v>
                </c:pt>
                <c:pt idx="6">
                  <c:v>Q3FY23</c:v>
                </c:pt>
                <c:pt idx="7">
                  <c:v>Q4FY23</c:v>
                </c:pt>
              </c:strCache>
            </c:strRef>
          </c:cat>
          <c:val>
            <c:numRef>
              <c:f>'Data visualization'!$C$6:$C$13</c:f>
              <c:numCache>
                <c:formatCode>0.00%</c:formatCode>
                <c:ptCount val="8"/>
                <c:pt idx="0" formatCode="0%">
                  <c:v>0.04</c:v>
                </c:pt>
                <c:pt idx="1">
                  <c:v>3.3300000000000003E-2</c:v>
                </c:pt>
                <c:pt idx="2">
                  <c:v>2.5000000000000001E-2</c:v>
                </c:pt>
                <c:pt idx="3" formatCode="0%">
                  <c:v>7.0000000000000007E-2</c:v>
                </c:pt>
                <c:pt idx="4" formatCode="0%">
                  <c:v>0.04</c:v>
                </c:pt>
                <c:pt idx="5">
                  <c:v>2.3E-2</c:v>
                </c:pt>
                <c:pt idx="6">
                  <c:v>0.05</c:v>
                </c:pt>
                <c:pt idx="7">
                  <c:v>0.15</c:v>
                </c:pt>
              </c:numCache>
            </c:numRef>
          </c:val>
          <c:smooth val="0"/>
          <c:extLst>
            <c:ext xmlns:c16="http://schemas.microsoft.com/office/drawing/2014/chart" uri="{C3380CC4-5D6E-409C-BE32-E72D297353CC}">
              <c16:uniqueId val="{00000001-F4DF-436A-A928-1C1F9B33326D}"/>
            </c:ext>
          </c:extLst>
        </c:ser>
        <c:dLbls>
          <c:showLegendKey val="0"/>
          <c:showVal val="1"/>
          <c:showCatName val="0"/>
          <c:showSerName val="0"/>
          <c:showPercent val="0"/>
          <c:showBubbleSize val="0"/>
        </c:dLbls>
        <c:marker val="1"/>
        <c:smooth val="0"/>
        <c:axId val="1973438879"/>
        <c:axId val="1945458303"/>
      </c:lineChart>
      <c:catAx>
        <c:axId val="197345615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Fiscal</a:t>
                </a:r>
                <a:r>
                  <a:rPr lang="en-IN" baseline="0"/>
                  <a:t> Quarters</a:t>
                </a:r>
                <a:endParaRPr lang="en-IN"/>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IN"/>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45456815"/>
        <c:crosses val="autoZero"/>
        <c:auto val="1"/>
        <c:lblAlgn val="ctr"/>
        <c:lblOffset val="100"/>
        <c:noMultiLvlLbl val="0"/>
      </c:catAx>
      <c:valAx>
        <c:axId val="1945456815"/>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Inr</a:t>
                </a:r>
                <a:r>
                  <a:rPr lang="en-IN" baseline="0"/>
                  <a:t> Mn</a:t>
                </a:r>
                <a:endParaRPr lang="en-IN"/>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IN"/>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73456159"/>
        <c:crosses val="autoZero"/>
        <c:crossBetween val="between"/>
      </c:valAx>
      <c:valAx>
        <c:axId val="1945458303"/>
        <c:scaling>
          <c:orientation val="minMax"/>
        </c:scaling>
        <c:delete val="0"/>
        <c:axPos val="r"/>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IN"/>
                  <a:t>Percetnatge</a:t>
                </a:r>
                <a:r>
                  <a:rPr lang="en-IN" baseline="0"/>
                  <a:t> </a:t>
                </a:r>
                <a:endParaRPr lang="en-IN"/>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IN"/>
            </a:p>
          </c:txPr>
        </c:title>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973438879"/>
        <c:crosses val="max"/>
        <c:crossBetween val="between"/>
      </c:valAx>
      <c:catAx>
        <c:axId val="1973438879"/>
        <c:scaling>
          <c:orientation val="minMax"/>
        </c:scaling>
        <c:delete val="1"/>
        <c:axPos val="b"/>
        <c:numFmt formatCode="General" sourceLinked="1"/>
        <c:majorTickMark val="none"/>
        <c:minorTickMark val="none"/>
        <c:tickLblPos val="nextTo"/>
        <c:crossAx val="1945458303"/>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4</xdr:col>
      <xdr:colOff>47625</xdr:colOff>
      <xdr:row>4</xdr:row>
      <xdr:rowOff>137161</xdr:rowOff>
    </xdr:from>
    <xdr:to>
      <xdr:col>5</xdr:col>
      <xdr:colOff>474346</xdr:colOff>
      <xdr:row>7</xdr:row>
      <xdr:rowOff>96521</xdr:rowOff>
    </xdr:to>
    <xdr:pic>
      <xdr:nvPicPr>
        <xdr:cNvPr id="4" name="Picture 3">
          <a:extLst>
            <a:ext uri="{FF2B5EF4-FFF2-40B4-BE49-F238E27FC236}">
              <a16:creationId xmlns:a16="http://schemas.microsoft.com/office/drawing/2014/main" id="{FEF374CE-3AC9-05CA-0EB8-BAC66BB07E05}"/>
            </a:ext>
          </a:extLst>
        </xdr:cNvPr>
        <xdr:cNvPicPr>
          <a:picLocks noChangeAspect="1"/>
        </xdr:cNvPicPr>
      </xdr:nvPicPr>
      <xdr:blipFill rotWithShape="1">
        <a:blip xmlns:r="http://schemas.openxmlformats.org/officeDocument/2006/relationships" r:embed="rId1"/>
        <a:srcRect r="13181" b="5989"/>
        <a:stretch/>
      </xdr:blipFill>
      <xdr:spPr>
        <a:xfrm>
          <a:off x="3095625" y="899161"/>
          <a:ext cx="1036320" cy="47371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19050</xdr:colOff>
      <xdr:row>1</xdr:row>
      <xdr:rowOff>160020</xdr:rowOff>
    </xdr:from>
    <xdr:to>
      <xdr:col>19</xdr:col>
      <xdr:colOff>411480</xdr:colOff>
      <xdr:row>16</xdr:row>
      <xdr:rowOff>95250</xdr:rowOff>
    </xdr:to>
    <xdr:sp macro="" textlink="">
      <xdr:nvSpPr>
        <xdr:cNvPr id="2" name="TextBox 1">
          <a:extLst>
            <a:ext uri="{FF2B5EF4-FFF2-40B4-BE49-F238E27FC236}">
              <a16:creationId xmlns:a16="http://schemas.microsoft.com/office/drawing/2014/main" id="{3DDA751F-4A48-4AA7-BCA8-8DCF16CC1F9D}"/>
            </a:ext>
          </a:extLst>
        </xdr:cNvPr>
        <xdr:cNvSpPr txBox="1"/>
      </xdr:nvSpPr>
      <xdr:spPr>
        <a:xfrm>
          <a:off x="10062210" y="335280"/>
          <a:ext cx="6488430" cy="244983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The data pertains to a B-school campus. Name, Gender, City &amp; Age.</a:t>
          </a:r>
          <a:br>
            <a:rPr lang="en-IN" sz="1000"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Calculate average age of the batch.</a:t>
          </a:r>
        </a:p>
        <a:p>
          <a:r>
            <a:rPr lang="en-IN" sz="1000" baseline="0">
              <a:latin typeface="Arial" panose="020B0604020202020204" pitchFamily="34" charset="0"/>
              <a:cs typeface="Arial" panose="020B0604020202020204" pitchFamily="34" charset="0"/>
            </a:rPr>
            <a:t>2. Calculate how students are from Mumbai</a:t>
          </a:r>
        </a:p>
        <a:p>
          <a:r>
            <a:rPr lang="en-IN" sz="1000" baseline="0">
              <a:latin typeface="Arial" panose="020B0604020202020204" pitchFamily="34" charset="0"/>
              <a:cs typeface="Arial" panose="020B0604020202020204" pitchFamily="34" charset="0"/>
            </a:rPr>
            <a:t>3. Calculate the maximum &amp; minimum age in the batch and 2nd youngest age, 2nd eldest.</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3. Calculate - how many students are there as follows:</a:t>
          </a:r>
        </a:p>
        <a:p>
          <a:pPr marL="0" marR="0" lvl="0" indent="0" defTabSz="914400" eaLnBrk="1" fontAlgn="auto" latinLnBrk="0" hangingPunct="1">
            <a:lnSpc>
              <a:spcPct val="100000"/>
            </a:lnSpc>
            <a:spcBef>
              <a:spcPts val="0"/>
            </a:spcBef>
            <a:spcAft>
              <a:spcPts val="0"/>
            </a:spcAft>
            <a:buClrTx/>
            <a:buSzTx/>
            <a:buFontTx/>
            <a:buNone/>
            <a:tabLst/>
            <a:defRPr/>
          </a:pPr>
          <a:r>
            <a:rPr lang="en-IN" sz="1000" i="1" baseline="0">
              <a:latin typeface="Arial" panose="020B0604020202020204" pitchFamily="34" charset="0"/>
              <a:cs typeface="Arial" panose="020B0604020202020204" pitchFamily="34" charset="0"/>
            </a:rPr>
            <a:t>a. </a:t>
          </a:r>
          <a:r>
            <a:rPr lang="en-IN" sz="1000" i="1" baseline="0">
              <a:solidFill>
                <a:schemeClr val="dk1"/>
              </a:solidFill>
              <a:effectLst/>
              <a:latin typeface="Arial" panose="020B0604020202020204" pitchFamily="34" charset="0"/>
              <a:ea typeface="+mn-ea"/>
              <a:cs typeface="Arial" panose="020B0604020202020204" pitchFamily="34" charset="0"/>
            </a:rPr>
            <a:t>names which have the letter 'c'</a:t>
          </a:r>
        </a:p>
        <a:p>
          <a:pPr marL="0" marR="0" lvl="0" indent="0" defTabSz="914400" eaLnBrk="1" fontAlgn="auto" latinLnBrk="0" hangingPunct="1">
            <a:lnSpc>
              <a:spcPct val="100000"/>
            </a:lnSpc>
            <a:spcBef>
              <a:spcPts val="0"/>
            </a:spcBef>
            <a:spcAft>
              <a:spcPts val="0"/>
            </a:spcAft>
            <a:buClrTx/>
            <a:buSzTx/>
            <a:buFontTx/>
            <a:buNone/>
            <a:tabLst/>
            <a:defRPr/>
          </a:pPr>
          <a:r>
            <a:rPr lang="en-IN" sz="1000" i="1" baseline="0">
              <a:solidFill>
                <a:schemeClr val="dk1"/>
              </a:solidFill>
              <a:effectLst/>
              <a:latin typeface="Arial" panose="020B0604020202020204" pitchFamily="34" charset="0"/>
              <a:ea typeface="+mn-ea"/>
              <a:cs typeface="Arial" panose="020B0604020202020204" pitchFamily="34" charset="0"/>
            </a:rPr>
            <a:t>b. </a:t>
          </a:r>
          <a:r>
            <a:rPr lang="en-IN" sz="1000" i="1" baseline="0">
              <a:latin typeface="Arial" panose="020B0604020202020204" pitchFamily="34" charset="0"/>
              <a:cs typeface="Arial" panose="020B0604020202020204" pitchFamily="34" charset="0"/>
            </a:rPr>
            <a:t>names starting with 'c'</a:t>
          </a:r>
        </a:p>
        <a:p>
          <a:r>
            <a:rPr lang="en-IN" sz="1000" i="1" baseline="0">
              <a:latin typeface="Arial" panose="020B0604020202020204" pitchFamily="34" charset="0"/>
              <a:cs typeface="Arial" panose="020B0604020202020204" pitchFamily="34" charset="0"/>
            </a:rPr>
            <a:t>c. names ending with 'c'</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twoCellAnchor>
    <xdr:from>
      <xdr:col>9</xdr:col>
      <xdr:colOff>19050</xdr:colOff>
      <xdr:row>31</xdr:row>
      <xdr:rowOff>66675</xdr:rowOff>
    </xdr:from>
    <xdr:to>
      <xdr:col>19</xdr:col>
      <xdr:colOff>411480</xdr:colOff>
      <xdr:row>39</xdr:row>
      <xdr:rowOff>133350</xdr:rowOff>
    </xdr:to>
    <xdr:sp macro="" textlink="">
      <xdr:nvSpPr>
        <xdr:cNvPr id="3" name="TextBox 2">
          <a:extLst>
            <a:ext uri="{FF2B5EF4-FFF2-40B4-BE49-F238E27FC236}">
              <a16:creationId xmlns:a16="http://schemas.microsoft.com/office/drawing/2014/main" id="{570D6E8B-650A-47B9-8186-B74197227803}"/>
            </a:ext>
          </a:extLst>
        </xdr:cNvPr>
        <xdr:cNvSpPr txBox="1"/>
      </xdr:nvSpPr>
      <xdr:spPr>
        <a:xfrm>
          <a:off x="10062210" y="5271135"/>
          <a:ext cx="6488430" cy="140779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You rolled our a survey (goolge form) for a research and participants filled thier numbers in a non standard way. Your office admin requested you to provide only 10 digit mobile numbers as per system requirments. Please clean the data &amp; share.</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0</xdr:colOff>
      <xdr:row>7</xdr:row>
      <xdr:rowOff>0</xdr:rowOff>
    </xdr:from>
    <xdr:to>
      <xdr:col>3</xdr:col>
      <xdr:colOff>6207303</xdr:colOff>
      <xdr:row>13</xdr:row>
      <xdr:rowOff>54428</xdr:rowOff>
    </xdr:to>
    <xdr:sp macro="" textlink="">
      <xdr:nvSpPr>
        <xdr:cNvPr id="2" name="TextBox 1">
          <a:extLst>
            <a:ext uri="{FF2B5EF4-FFF2-40B4-BE49-F238E27FC236}">
              <a16:creationId xmlns:a16="http://schemas.microsoft.com/office/drawing/2014/main" id="{A7E57265-71C0-49A4-9854-83708389AF95}"/>
            </a:ext>
          </a:extLst>
        </xdr:cNvPr>
        <xdr:cNvSpPr txBox="1"/>
      </xdr:nvSpPr>
      <xdr:spPr>
        <a:xfrm>
          <a:off x="1823663" y="1943528"/>
          <a:ext cx="6207303" cy="118458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It is quite often to copy-paste data from PDFs, but they come with line breaks due to justify feature. How do we remove those line breaks (refer cell D3) and add spaces. Ponder on this data cleaning real life challenge.</a:t>
          </a:r>
          <a:br>
            <a:rPr lang="en-IN" sz="1000" baseline="0">
              <a:latin typeface="Arial" panose="020B0604020202020204" pitchFamily="34" charset="0"/>
              <a:cs typeface="Arial" panose="020B0604020202020204" pitchFamily="34" charset="0"/>
            </a:rPr>
          </a:br>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270933</xdr:colOff>
      <xdr:row>5</xdr:row>
      <xdr:rowOff>25401</xdr:rowOff>
    </xdr:from>
    <xdr:to>
      <xdr:col>13</xdr:col>
      <xdr:colOff>230294</xdr:colOff>
      <xdr:row>12</xdr:row>
      <xdr:rowOff>72813</xdr:rowOff>
    </xdr:to>
    <xdr:sp macro="" textlink="">
      <xdr:nvSpPr>
        <xdr:cNvPr id="2" name="TextBox 1">
          <a:extLst>
            <a:ext uri="{FF2B5EF4-FFF2-40B4-BE49-F238E27FC236}">
              <a16:creationId xmlns:a16="http://schemas.microsoft.com/office/drawing/2014/main" id="{6A85E365-90D8-4B27-AAAE-49008B489234}"/>
            </a:ext>
          </a:extLst>
        </xdr:cNvPr>
        <xdr:cNvSpPr txBox="1"/>
      </xdr:nvSpPr>
      <xdr:spPr>
        <a:xfrm>
          <a:off x="8073813" y="871221"/>
          <a:ext cx="4615181" cy="1388532"/>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Compute % share/contribution of each sector i.e Common Size Analysis</a:t>
          </a:r>
        </a:p>
        <a:p>
          <a:r>
            <a:rPr lang="en-IN" sz="1000" baseline="0">
              <a:latin typeface="Arial" panose="020B0604020202020204" pitchFamily="34" charset="0"/>
              <a:cs typeface="Arial" panose="020B0604020202020204" pitchFamily="34" charset="0"/>
            </a:rPr>
            <a:t>2. Compute product prices in local currencies using the conversion rates provided</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4</xdr:row>
      <xdr:rowOff>0</xdr:rowOff>
    </xdr:from>
    <xdr:to>
      <xdr:col>13</xdr:col>
      <xdr:colOff>22860</xdr:colOff>
      <xdr:row>11</xdr:row>
      <xdr:rowOff>160020</xdr:rowOff>
    </xdr:to>
    <xdr:sp macro="" textlink="">
      <xdr:nvSpPr>
        <xdr:cNvPr id="2" name="TextBox 1">
          <a:extLst>
            <a:ext uri="{FF2B5EF4-FFF2-40B4-BE49-F238E27FC236}">
              <a16:creationId xmlns:a16="http://schemas.microsoft.com/office/drawing/2014/main" id="{E64D1E6A-90C7-4737-B5A2-D545FA181B38}"/>
            </a:ext>
          </a:extLst>
        </xdr:cNvPr>
        <xdr:cNvSpPr txBox="1"/>
      </xdr:nvSpPr>
      <xdr:spPr>
        <a:xfrm>
          <a:off x="5524500" y="678180"/>
          <a:ext cx="5509260" cy="13335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Compute the income tax for the current fiscal year for the company.</a:t>
          </a:r>
        </a:p>
        <a:p>
          <a:r>
            <a:rPr lang="en-IN" sz="1000" baseline="0">
              <a:latin typeface="Arial" panose="020B0604020202020204" pitchFamily="34" charset="0"/>
              <a:cs typeface="Arial" panose="020B0604020202020204" pitchFamily="34" charset="0"/>
            </a:rPr>
            <a:t>2. Perform sensitivity analysis on Net profit if the tax rates are 0%, 10%, 20%, 40%, 50%</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7</xdr:col>
      <xdr:colOff>76292</xdr:colOff>
      <xdr:row>2</xdr:row>
      <xdr:rowOff>34979</xdr:rowOff>
    </xdr:from>
    <xdr:to>
      <xdr:col>18</xdr:col>
      <xdr:colOff>64265</xdr:colOff>
      <xdr:row>9</xdr:row>
      <xdr:rowOff>138953</xdr:rowOff>
    </xdr:to>
    <xdr:sp macro="" textlink="">
      <xdr:nvSpPr>
        <xdr:cNvPr id="2" name="TextBox 1">
          <a:extLst>
            <a:ext uri="{FF2B5EF4-FFF2-40B4-BE49-F238E27FC236}">
              <a16:creationId xmlns:a16="http://schemas.microsoft.com/office/drawing/2014/main" id="{2B4662F6-6337-4C38-9469-E4EF87F332ED}"/>
            </a:ext>
          </a:extLst>
        </xdr:cNvPr>
        <xdr:cNvSpPr txBox="1"/>
      </xdr:nvSpPr>
      <xdr:spPr>
        <a:xfrm>
          <a:off x="6042304" y="375638"/>
          <a:ext cx="6693573" cy="1435233"/>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Use find dialogue box to find 11 in the worksheet, could you get results, why are you getting error. </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Financials were copied from PDF. We got a "hypen / dash" instead of 0 as a text. Replace that dash with 0.</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590550</xdr:colOff>
      <xdr:row>2</xdr:row>
      <xdr:rowOff>38100</xdr:rowOff>
    </xdr:from>
    <xdr:to>
      <xdr:col>9</xdr:col>
      <xdr:colOff>304800</xdr:colOff>
      <xdr:row>10</xdr:row>
      <xdr:rowOff>57150</xdr:rowOff>
    </xdr:to>
    <xdr:sp macro="" textlink="">
      <xdr:nvSpPr>
        <xdr:cNvPr id="2" name="TextBox 1">
          <a:extLst>
            <a:ext uri="{FF2B5EF4-FFF2-40B4-BE49-F238E27FC236}">
              <a16:creationId xmlns:a16="http://schemas.microsoft.com/office/drawing/2014/main" id="{190D7635-ACF2-4884-8A56-C818B19494AD}"/>
            </a:ext>
          </a:extLst>
        </xdr:cNvPr>
        <xdr:cNvSpPr txBox="1"/>
      </xdr:nvSpPr>
      <xdr:spPr>
        <a:xfrm>
          <a:off x="6800850" y="381000"/>
          <a:ext cx="4591050" cy="136017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Categorise the employees in the appropriate bucket based on their days spent in the organisation. Avoid using nested IFs.</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Please investigate the #N/A Error on the cell H26 &amp; I26</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2</xdr:col>
      <xdr:colOff>1729154</xdr:colOff>
      <xdr:row>5</xdr:row>
      <xdr:rowOff>146538</xdr:rowOff>
    </xdr:from>
    <xdr:to>
      <xdr:col>6</xdr:col>
      <xdr:colOff>82453</xdr:colOff>
      <xdr:row>13</xdr:row>
      <xdr:rowOff>77690</xdr:rowOff>
    </xdr:to>
    <xdr:sp macro="" textlink="">
      <xdr:nvSpPr>
        <xdr:cNvPr id="2" name="TextBox 1">
          <a:extLst>
            <a:ext uri="{FF2B5EF4-FFF2-40B4-BE49-F238E27FC236}">
              <a16:creationId xmlns:a16="http://schemas.microsoft.com/office/drawing/2014/main" id="{9BF926E1-5BD1-46B0-A400-2224428D917A}"/>
            </a:ext>
          </a:extLst>
        </xdr:cNvPr>
        <xdr:cNvSpPr txBox="1"/>
      </xdr:nvSpPr>
      <xdr:spPr>
        <a:xfrm>
          <a:off x="3048000" y="1002323"/>
          <a:ext cx="4607561" cy="1291029"/>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Automate &amp; calculate per head contribution for each date.</a:t>
          </a:r>
        </a:p>
        <a:p>
          <a:r>
            <a:rPr lang="en-IN" sz="1000" baseline="0">
              <a:latin typeface="Arial" panose="020B0604020202020204" pitchFamily="34" charset="0"/>
              <a:cs typeface="Arial" panose="020B0604020202020204" pitchFamily="34" charset="0"/>
            </a:rPr>
            <a:t>2. Find out who has spent the highest and 2nd highest amount on parties?</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14</xdr:col>
      <xdr:colOff>242047</xdr:colOff>
      <xdr:row>3</xdr:row>
      <xdr:rowOff>62753</xdr:rowOff>
    </xdr:from>
    <xdr:to>
      <xdr:col>22</xdr:col>
      <xdr:colOff>439271</xdr:colOff>
      <xdr:row>13</xdr:row>
      <xdr:rowOff>0</xdr:rowOff>
    </xdr:to>
    <xdr:sp macro="" textlink="">
      <xdr:nvSpPr>
        <xdr:cNvPr id="2" name="TextBox 1">
          <a:extLst>
            <a:ext uri="{FF2B5EF4-FFF2-40B4-BE49-F238E27FC236}">
              <a16:creationId xmlns:a16="http://schemas.microsoft.com/office/drawing/2014/main" id="{D15B1ECC-9422-4F59-BDB8-AD7D4A3872EC}"/>
            </a:ext>
          </a:extLst>
        </xdr:cNvPr>
        <xdr:cNvSpPr txBox="1"/>
      </xdr:nvSpPr>
      <xdr:spPr>
        <a:xfrm>
          <a:off x="10803367" y="573293"/>
          <a:ext cx="5074024" cy="1613647"/>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You have to perform a lookup in this case study. Traditional VLOOKUP, INDEX MATCH, XLOOKUP can't standalone perform 3D lookups. </a:t>
          </a:r>
          <a:br>
            <a:rPr lang="en-IN" sz="1000"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2. Ponder and think on how you can visualise this data. </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14</xdr:col>
      <xdr:colOff>5773</xdr:colOff>
      <xdr:row>5</xdr:row>
      <xdr:rowOff>106680</xdr:rowOff>
    </xdr:from>
    <xdr:to>
      <xdr:col>16</xdr:col>
      <xdr:colOff>431801</xdr:colOff>
      <xdr:row>14</xdr:row>
      <xdr:rowOff>230</xdr:rowOff>
    </xdr:to>
    <xdr:sp macro="" textlink="">
      <xdr:nvSpPr>
        <xdr:cNvPr id="2" name="TextBox 1">
          <a:extLst>
            <a:ext uri="{FF2B5EF4-FFF2-40B4-BE49-F238E27FC236}">
              <a16:creationId xmlns:a16="http://schemas.microsoft.com/office/drawing/2014/main" id="{37E36170-3B65-4FF4-A030-BB240123490C}"/>
            </a:ext>
          </a:extLst>
        </xdr:cNvPr>
        <xdr:cNvSpPr txBox="1"/>
      </xdr:nvSpPr>
      <xdr:spPr>
        <a:xfrm>
          <a:off x="13594773" y="949498"/>
          <a:ext cx="1649846" cy="1400232"/>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Understand difference between, Machine Friendly &amp; Report Friendly format.</a:t>
          </a:r>
        </a:p>
        <a:p>
          <a:r>
            <a:rPr lang="en-IN" sz="1000" baseline="0">
              <a:latin typeface="Arial" panose="020B0604020202020204" pitchFamily="34" charset="0"/>
              <a:cs typeface="Arial" panose="020B0604020202020204" pitchFamily="34" charset="0"/>
            </a:rPr>
            <a:t>2. Try creating Report Friendly Format in the mentioned space, traditional lookup functions shall fail.</a:t>
          </a:r>
          <a:endParaRPr lang="en-IN" sz="1000" b="0" i="1" baseline="0">
            <a:latin typeface="Arial" panose="020B0604020202020204" pitchFamily="34" charset="0"/>
            <a:cs typeface="Arial" panose="020B0604020202020204" pitchFamily="34" charset="0"/>
          </a:endParaRPr>
        </a:p>
        <a:p>
          <a:endParaRPr lang="en-IN" sz="1000" b="0" i="1"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51433</xdr:colOff>
      <xdr:row>1</xdr:row>
      <xdr:rowOff>70521</xdr:rowOff>
    </xdr:from>
    <xdr:to>
      <xdr:col>13</xdr:col>
      <xdr:colOff>160789</xdr:colOff>
      <xdr:row>10</xdr:row>
      <xdr:rowOff>25686</xdr:rowOff>
    </xdr:to>
    <xdr:sp macro="" textlink="">
      <xdr:nvSpPr>
        <xdr:cNvPr id="2" name="TextBox 1">
          <a:extLst>
            <a:ext uri="{FF2B5EF4-FFF2-40B4-BE49-F238E27FC236}">
              <a16:creationId xmlns:a16="http://schemas.microsoft.com/office/drawing/2014/main" id="{F3DCBCD4-7429-4275-9A54-DD048996E9D4}"/>
            </a:ext>
          </a:extLst>
        </xdr:cNvPr>
        <xdr:cNvSpPr txBox="1"/>
      </xdr:nvSpPr>
      <xdr:spPr>
        <a:xfrm>
          <a:off x="6888461" y="245292"/>
          <a:ext cx="5506273" cy="1465183"/>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a:solidFill>
                <a:schemeClr val="dk1"/>
              </a:solidFill>
              <a:effectLst/>
              <a:latin typeface="Arial" panose="020B0604020202020204" pitchFamily="34" charset="0"/>
              <a:ea typeface="+mn-ea"/>
              <a:cs typeface="Arial" panose="020B0604020202020204" pitchFamily="34" charset="0"/>
            </a:rPr>
            <a:t>1.</a:t>
          </a:r>
          <a:r>
            <a:rPr lang="en-IN" sz="1000" baseline="0">
              <a:solidFill>
                <a:schemeClr val="dk1"/>
              </a:solidFill>
              <a:effectLst/>
              <a:latin typeface="Arial" panose="020B0604020202020204" pitchFamily="34" charset="0"/>
              <a:ea typeface="+mn-ea"/>
              <a:cs typeface="Arial" panose="020B0604020202020204" pitchFamily="34" charset="0"/>
            </a:rPr>
            <a:t> Calculate the EMI for the education loan</a:t>
          </a:r>
          <a:endParaRPr lang="en-IN" sz="1000">
            <a:effectLst/>
            <a:latin typeface="Arial" panose="020B0604020202020204" pitchFamily="34" charset="0"/>
            <a:cs typeface="Arial" panose="020B0604020202020204" pitchFamily="34" charset="0"/>
          </a:endParaRPr>
        </a:p>
        <a:p>
          <a:r>
            <a:rPr lang="en-IN" sz="1000" baseline="0">
              <a:solidFill>
                <a:schemeClr val="dk1"/>
              </a:solidFill>
              <a:effectLst/>
              <a:latin typeface="Arial" panose="020B0604020202020204" pitchFamily="34" charset="0"/>
              <a:ea typeface="+mn-ea"/>
              <a:cs typeface="Arial" panose="020B0604020202020204" pitchFamily="34" charset="0"/>
            </a:rPr>
            <a:t>2. If the borrower has a capacity to pay Rs. 100,000 as EMI, what would be his revised tenure? </a:t>
          </a:r>
          <a:endParaRPr lang="en-IN" sz="1000">
            <a:effectLst/>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14</xdr:col>
      <xdr:colOff>242047</xdr:colOff>
      <xdr:row>3</xdr:row>
      <xdr:rowOff>62753</xdr:rowOff>
    </xdr:from>
    <xdr:to>
      <xdr:col>22</xdr:col>
      <xdr:colOff>439271</xdr:colOff>
      <xdr:row>13</xdr:row>
      <xdr:rowOff>0</xdr:rowOff>
    </xdr:to>
    <xdr:sp macro="" textlink="">
      <xdr:nvSpPr>
        <xdr:cNvPr id="2" name="TextBox 1">
          <a:extLst>
            <a:ext uri="{FF2B5EF4-FFF2-40B4-BE49-F238E27FC236}">
              <a16:creationId xmlns:a16="http://schemas.microsoft.com/office/drawing/2014/main" id="{35B98D32-B9CC-4E72-B7B4-1554E0C925A5}"/>
            </a:ext>
          </a:extLst>
        </xdr:cNvPr>
        <xdr:cNvSpPr txBox="1"/>
      </xdr:nvSpPr>
      <xdr:spPr>
        <a:xfrm>
          <a:off x="10803367" y="573293"/>
          <a:ext cx="5074024" cy="1613647"/>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You have to perform a lookup in this case study. Traditional VLOOKUP, INDEX MATCH, XLOOKUP can't standalone perform 3D lookups. </a:t>
          </a:r>
          <a:br>
            <a:rPr lang="en-IN" sz="1000"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2. Ponder and think on how you can visualise this data. </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14</xdr:col>
      <xdr:colOff>242047</xdr:colOff>
      <xdr:row>3</xdr:row>
      <xdr:rowOff>62753</xdr:rowOff>
    </xdr:from>
    <xdr:to>
      <xdr:col>22</xdr:col>
      <xdr:colOff>439271</xdr:colOff>
      <xdr:row>13</xdr:row>
      <xdr:rowOff>0</xdr:rowOff>
    </xdr:to>
    <xdr:sp macro="" textlink="">
      <xdr:nvSpPr>
        <xdr:cNvPr id="2" name="TextBox 1">
          <a:extLst>
            <a:ext uri="{FF2B5EF4-FFF2-40B4-BE49-F238E27FC236}">
              <a16:creationId xmlns:a16="http://schemas.microsoft.com/office/drawing/2014/main" id="{CB2C998D-6F46-4CD2-B927-592D9D69BD9E}"/>
            </a:ext>
          </a:extLst>
        </xdr:cNvPr>
        <xdr:cNvSpPr txBox="1"/>
      </xdr:nvSpPr>
      <xdr:spPr>
        <a:xfrm>
          <a:off x="10803367" y="573293"/>
          <a:ext cx="5074024" cy="1613647"/>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You have to perform a lookup in this case study. Traditional VLOOKUP, INDEX MATCH, XLOOKUP can't standalone perform 3D lookups. </a:t>
          </a:r>
          <a:br>
            <a:rPr lang="en-IN" sz="1000"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2. Ponder and think on how you can visualise this data. </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327660</xdr:colOff>
      <xdr:row>3</xdr:row>
      <xdr:rowOff>7620</xdr:rowOff>
    </xdr:from>
    <xdr:to>
      <xdr:col>18</xdr:col>
      <xdr:colOff>106680</xdr:colOff>
      <xdr:row>11</xdr:row>
      <xdr:rowOff>38100</xdr:rowOff>
    </xdr:to>
    <xdr:sp macro="" textlink="">
      <xdr:nvSpPr>
        <xdr:cNvPr id="2" name="TextBox 1">
          <a:extLst>
            <a:ext uri="{FF2B5EF4-FFF2-40B4-BE49-F238E27FC236}">
              <a16:creationId xmlns:a16="http://schemas.microsoft.com/office/drawing/2014/main" id="{6347D3EA-0455-4E6A-AB52-7AAB7F173142}"/>
            </a:ext>
          </a:extLst>
        </xdr:cNvPr>
        <xdr:cNvSpPr txBox="1"/>
      </xdr:nvSpPr>
      <xdr:spPr>
        <a:xfrm>
          <a:off x="7589520" y="518160"/>
          <a:ext cx="4655820" cy="13716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Get stock prices &amp; other financial data in Excel</a:t>
          </a: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2. Webscrape the data from the link mentioned in cell B4</a:t>
          </a:r>
        </a:p>
        <a:p>
          <a:r>
            <a:rPr lang="en-IN" sz="1000" baseline="0">
              <a:latin typeface="Arial" panose="020B0604020202020204" pitchFamily="34" charset="0"/>
              <a:cs typeface="Arial" panose="020B0604020202020204" pitchFamily="34" charset="0"/>
            </a:rPr>
            <a:t>3. Understand new data types in Excel - Geography &amp; Stocks</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4</xdr:col>
      <xdr:colOff>430105</xdr:colOff>
      <xdr:row>4</xdr:row>
      <xdr:rowOff>134853</xdr:rowOff>
    </xdr:from>
    <xdr:to>
      <xdr:col>12</xdr:col>
      <xdr:colOff>160866</xdr:colOff>
      <xdr:row>11</xdr:row>
      <xdr:rowOff>54803</xdr:rowOff>
    </xdr:to>
    <xdr:sp macro="" textlink="">
      <xdr:nvSpPr>
        <xdr:cNvPr id="2" name="TextBox 1">
          <a:extLst>
            <a:ext uri="{FF2B5EF4-FFF2-40B4-BE49-F238E27FC236}">
              <a16:creationId xmlns:a16="http://schemas.microsoft.com/office/drawing/2014/main" id="{959000E7-9648-4FEC-BC15-18CF813D2465}"/>
            </a:ext>
          </a:extLst>
        </xdr:cNvPr>
        <xdr:cNvSpPr txBox="1"/>
      </xdr:nvSpPr>
      <xdr:spPr>
        <a:xfrm>
          <a:off x="4285825" y="813033"/>
          <a:ext cx="4607561" cy="126107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Analyse observe the data and make a visualisation (chart) out of the data. </a:t>
          </a:r>
        </a:p>
        <a:p>
          <a:r>
            <a:rPr lang="en-IN" sz="1000" baseline="0">
              <a:latin typeface="Arial" panose="020B0604020202020204" pitchFamily="34" charset="0"/>
              <a:cs typeface="Arial" panose="020B0604020202020204" pitchFamily="34" charset="0"/>
            </a:rPr>
            <a:t>As a better analyst, think of better ways to automate the updation process when the new quarterly data is available.</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twoCellAnchor>
    <xdr:from>
      <xdr:col>2</xdr:col>
      <xdr:colOff>1311349</xdr:colOff>
      <xdr:row>3</xdr:row>
      <xdr:rowOff>46076</xdr:rowOff>
    </xdr:from>
    <xdr:to>
      <xdr:col>10</xdr:col>
      <xdr:colOff>41349</xdr:colOff>
      <xdr:row>19</xdr:row>
      <xdr:rowOff>142950</xdr:rowOff>
    </xdr:to>
    <xdr:graphicFrame macro="">
      <xdr:nvGraphicFramePr>
        <xdr:cNvPr id="5" name="Chart 4">
          <a:extLst>
            <a:ext uri="{FF2B5EF4-FFF2-40B4-BE49-F238E27FC236}">
              <a16:creationId xmlns:a16="http://schemas.microsoft.com/office/drawing/2014/main" id="{C37D3688-D50E-4528-7CBB-4E5AAB3811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9</xdr:col>
      <xdr:colOff>609599</xdr:colOff>
      <xdr:row>4</xdr:row>
      <xdr:rowOff>0</xdr:rowOff>
    </xdr:from>
    <xdr:to>
      <xdr:col>19</xdr:col>
      <xdr:colOff>371474</xdr:colOff>
      <xdr:row>14</xdr:row>
      <xdr:rowOff>123825</xdr:rowOff>
    </xdr:to>
    <xdr:sp macro="" textlink="">
      <xdr:nvSpPr>
        <xdr:cNvPr id="2" name="TextBox 1">
          <a:extLst>
            <a:ext uri="{FF2B5EF4-FFF2-40B4-BE49-F238E27FC236}">
              <a16:creationId xmlns:a16="http://schemas.microsoft.com/office/drawing/2014/main" id="{F0D13B67-36CF-45F3-BF90-4FCA2BE2FB03}"/>
            </a:ext>
          </a:extLst>
        </xdr:cNvPr>
        <xdr:cNvSpPr txBox="1"/>
      </xdr:nvSpPr>
      <xdr:spPr>
        <a:xfrm>
          <a:off x="11010899" y="670560"/>
          <a:ext cx="5857875" cy="1800225"/>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Understand and apply the finance concepts learnt in (undergrad, MBA) and compute IRR &amp; NPV</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Make the cell B19 into a named range.</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3. Explore Data validation inputs in Excel and add them to input cells for Discount Rates.</a:t>
          </a:r>
        </a:p>
        <a:p>
          <a:endParaRPr lang="en-IN" sz="1000" baseline="0">
            <a:latin typeface="Arial" panose="020B0604020202020204" pitchFamily="34" charset="0"/>
            <a:cs typeface="Arial" panose="020B0604020202020204" pitchFamily="34" charset="0"/>
          </a:endParaRP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7</xdr:col>
      <xdr:colOff>566057</xdr:colOff>
      <xdr:row>3</xdr:row>
      <xdr:rowOff>3265</xdr:rowOff>
    </xdr:from>
    <xdr:to>
      <xdr:col>14</xdr:col>
      <xdr:colOff>391885</xdr:colOff>
      <xdr:row>9</xdr:row>
      <xdr:rowOff>21771</xdr:rowOff>
    </xdr:to>
    <xdr:sp macro="" textlink="">
      <xdr:nvSpPr>
        <xdr:cNvPr id="2" name="TextBox 1">
          <a:extLst>
            <a:ext uri="{FF2B5EF4-FFF2-40B4-BE49-F238E27FC236}">
              <a16:creationId xmlns:a16="http://schemas.microsoft.com/office/drawing/2014/main" id="{99557E95-3065-4B9E-809D-039CBF371068}"/>
            </a:ext>
          </a:extLst>
        </xdr:cNvPr>
        <xdr:cNvSpPr txBox="1"/>
      </xdr:nvSpPr>
      <xdr:spPr>
        <a:xfrm>
          <a:off x="9245237" y="506185"/>
          <a:ext cx="7362008" cy="1359626"/>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Give ranks to each companies based on market cap. (Universal Rank)</a:t>
          </a:r>
        </a:p>
        <a:p>
          <a:r>
            <a:rPr lang="en-IN" sz="1000" baseline="0">
              <a:latin typeface="Arial" panose="020B0604020202020204" pitchFamily="34" charset="0"/>
              <a:cs typeface="Arial" panose="020B0604020202020204" pitchFamily="34" charset="0"/>
            </a:rPr>
            <a:t>2. Give ranks to companies conditional to sector (Rank among that sector)</a:t>
          </a:r>
        </a:p>
        <a:p>
          <a:r>
            <a:rPr lang="en-IN" sz="1000" baseline="0">
              <a:latin typeface="Arial" panose="020B0604020202020204" pitchFamily="34" charset="0"/>
              <a:cs typeface="Arial" panose="020B0604020202020204" pitchFamily="34" charset="0"/>
            </a:rPr>
            <a:t>3. Make the dashboard &amp; compute KPI as mentioned below</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 </a:t>
          </a:r>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5</xdr:col>
      <xdr:colOff>411480</xdr:colOff>
      <xdr:row>4</xdr:row>
      <xdr:rowOff>137160</xdr:rowOff>
    </xdr:from>
    <xdr:to>
      <xdr:col>14</xdr:col>
      <xdr:colOff>213360</xdr:colOff>
      <xdr:row>14</xdr:row>
      <xdr:rowOff>45720</xdr:rowOff>
    </xdr:to>
    <xdr:sp macro="" textlink="">
      <xdr:nvSpPr>
        <xdr:cNvPr id="2" name="TextBox 1">
          <a:extLst>
            <a:ext uri="{FF2B5EF4-FFF2-40B4-BE49-F238E27FC236}">
              <a16:creationId xmlns:a16="http://schemas.microsoft.com/office/drawing/2014/main" id="{8351873C-1A4A-4FA8-87E5-5245D6FC089D}"/>
            </a:ext>
          </a:extLst>
        </xdr:cNvPr>
        <xdr:cNvSpPr txBox="1"/>
      </xdr:nvSpPr>
      <xdr:spPr>
        <a:xfrm>
          <a:off x="5722620" y="815340"/>
          <a:ext cx="5288280" cy="176784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IN" sz="1000" b="1" u="sng">
              <a:latin typeface="Arial" panose="020B0604020202020204" pitchFamily="34" charset="0"/>
              <a:cs typeface="Arial" panose="020B0604020202020204" pitchFamily="34" charset="0"/>
            </a:rPr>
            <a:t>Case</a:t>
          </a:r>
          <a:r>
            <a:rPr lang="en-IN" sz="1000" b="1" u="sng" baseline="0">
              <a:latin typeface="Arial" panose="020B0604020202020204" pitchFamily="34" charset="0"/>
              <a:cs typeface="Arial" panose="020B0604020202020204" pitchFamily="34" charset="0"/>
            </a:rPr>
            <a:t> Study:</a:t>
          </a:r>
          <a:br>
            <a:rPr lang="en-IN" sz="1000" b="1" u="sng" baseline="0">
              <a:latin typeface="Arial" panose="020B0604020202020204" pitchFamily="34" charset="0"/>
              <a:cs typeface="Arial" panose="020B0604020202020204" pitchFamily="34" charset="0"/>
            </a:rPr>
          </a:br>
          <a:br>
            <a:rPr lang="en-IN" sz="1000" baseline="0">
              <a:latin typeface="Arial" panose="020B0604020202020204" pitchFamily="34" charset="0"/>
              <a:cs typeface="Arial" panose="020B0604020202020204" pitchFamily="34" charset="0"/>
            </a:rPr>
          </a:br>
          <a:r>
            <a:rPr lang="en-IN" sz="1000" baseline="0">
              <a:latin typeface="Arial" panose="020B0604020202020204" pitchFamily="34" charset="0"/>
              <a:cs typeface="Arial" panose="020B0604020202020204" pitchFamily="34" charset="0"/>
            </a:rPr>
            <a:t>1. Ramanujan Ltd is a courier company with the courier servies over below mentioned routes. The management wants to the most busy route (basis column C)</a:t>
          </a:r>
        </a:p>
        <a:p>
          <a:endParaRPr lang="en-IN" sz="1000" baseline="0">
            <a:latin typeface="Arial" panose="020B0604020202020204" pitchFamily="34" charset="0"/>
            <a:cs typeface="Arial" panose="020B0604020202020204" pitchFamily="34" charset="0"/>
          </a:endParaRPr>
        </a:p>
        <a:p>
          <a:r>
            <a:rPr lang="en-IN" sz="1000" baseline="0">
              <a:latin typeface="Arial" panose="020B0604020202020204" pitchFamily="34" charset="0"/>
              <a:cs typeface="Arial" panose="020B0604020202020204" pitchFamily="34" charset="0"/>
            </a:rPr>
            <a:t>2. Please note they don't want to see turnover on standalone (source and destination) basis but on consolidated basis. So Row 7 and Row 26 are to be added up to see buisest route.</a:t>
          </a:r>
        </a:p>
        <a:p>
          <a:endParaRPr lang="en-IN" sz="1000" baseline="0">
            <a:latin typeface="Arial" panose="020B0604020202020204" pitchFamily="34" charset="0"/>
            <a:cs typeface="Arial" panose="020B0604020202020204" pitchFamily="34" charset="0"/>
          </a:endParaRPr>
        </a:p>
        <a:p>
          <a:r>
            <a:rPr lang="en-IN" sz="1000" b="0" i="1" baseline="0">
              <a:latin typeface="Arial" panose="020B0604020202020204" pitchFamily="34" charset="0"/>
              <a:cs typeface="Arial" panose="020B0604020202020204" pitchFamily="34" charset="0"/>
            </a:rPr>
            <a:t>Regards, Chinmay Amte</a:t>
          </a:r>
        </a:p>
        <a:p>
          <a:r>
            <a:rPr lang="en-IN" sz="1000" b="0" i="1" baseline="0">
              <a:solidFill>
                <a:srgbClr val="002060"/>
              </a:solidFill>
              <a:latin typeface="Arial" panose="020B0604020202020204" pitchFamily="34" charset="0"/>
              <a:cs typeface="Arial" panose="020B0604020202020204" pitchFamily="34" charset="0"/>
            </a:rPr>
            <a:t>https://www.linkedin.com/in/amtechinmaya/</a:t>
          </a:r>
        </a:p>
      </xdr:txBody>
    </xdr:sp>
    <xdr:clientData/>
  </xdr:twoCellAnchor>
</xdr:wsDr>
</file>

<file path=xl/persons/person.xml><?xml version="1.0" encoding="utf-8"?>
<personList xmlns="http://schemas.microsoft.com/office/spreadsheetml/2018/threadedcomments" xmlns:x="http://schemas.openxmlformats.org/spreadsheetml/2006/main">
  <person displayName="amtec" id="{5C77EE93-1C0E-4456-ADD4-9894872DB8AF}" userId="amtec" providerId="None"/>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mtec" refreshedDate="45318.678403935184" createdVersion="8" refreshedVersion="8" minRefreshableVersion="3" recordCount="50" xr:uid="{2C9E2BAB-230F-4EB8-B58D-512038F645B4}">
  <cacheSource type="worksheet">
    <worksheetSource name="Table4"/>
  </cacheSource>
  <cacheFields count="5">
    <cacheField name="Name" numFmtId="0">
      <sharedItems/>
    </cacheField>
    <cacheField name="Email" numFmtId="0">
      <sharedItems containsBlank="1"/>
    </cacheField>
    <cacheField name="Designation" numFmtId="0">
      <sharedItems count="9">
        <s v="Associate"/>
        <s v="Intern"/>
        <s v="Manager"/>
        <s v="Partner"/>
        <s v="Director"/>
        <s v="Assistant Vice President"/>
        <s v="Vice President"/>
        <s v="Associate Director"/>
        <s v="Analyst"/>
      </sharedItems>
    </cacheField>
    <cacheField name="Department" numFmtId="0">
      <sharedItems count="3">
        <s v="Sales &amp; Marketing"/>
        <s v="Finance"/>
        <s v="HR"/>
      </sharedItems>
    </cacheField>
    <cacheField name="Salaries" numFmtId="3">
      <sharedItems containsSemiMixedTypes="0" containsString="0" containsNumber="1" containsInteger="1" minValue="11759" maxValue="855659"/>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0">
  <r>
    <s v="Waltraud Nesler"/>
    <s v="Waltraud.Nesler@hooli.com"/>
    <x v="0"/>
    <x v="0"/>
    <n v="42004"/>
  </r>
  <r>
    <s v="Aurelia Divis"/>
    <s v="Aurelia.Divis@hooli.com"/>
    <x v="1"/>
    <x v="1"/>
    <n v="12801"/>
  </r>
  <r>
    <s v="Lekisha Bledsoe"/>
    <s v="Lekisha.Bledsoe@hooli.com"/>
    <x v="2"/>
    <x v="1"/>
    <n v="96162"/>
  </r>
  <r>
    <s v="Luanna Devinney"/>
    <m/>
    <x v="3"/>
    <x v="0"/>
    <n v="855659"/>
  </r>
  <r>
    <s v="Logan Branscum"/>
    <m/>
    <x v="4"/>
    <x v="1"/>
    <n v="427523"/>
  </r>
  <r>
    <s v="Alexandria Talbot"/>
    <m/>
    <x v="5"/>
    <x v="2"/>
    <n v="287746"/>
  </r>
  <r>
    <s v="Judi Roundtree"/>
    <m/>
    <x v="2"/>
    <x v="2"/>
    <n v="134553"/>
  </r>
  <r>
    <s v="Liane Stemple"/>
    <m/>
    <x v="0"/>
    <x v="2"/>
    <n v="31156"/>
  </r>
  <r>
    <s v="Chana Mcclaran"/>
    <m/>
    <x v="6"/>
    <x v="1"/>
    <n v="380915"/>
  </r>
  <r>
    <s v="Alda Whatley"/>
    <m/>
    <x v="0"/>
    <x v="2"/>
    <n v="45265"/>
  </r>
  <r>
    <s v="Ocie Luman"/>
    <m/>
    <x v="0"/>
    <x v="2"/>
    <n v="31114"/>
  </r>
  <r>
    <s v="Marquerite Hannold"/>
    <m/>
    <x v="4"/>
    <x v="1"/>
    <n v="402751"/>
  </r>
  <r>
    <s v="Mauricio Fleitas"/>
    <m/>
    <x v="7"/>
    <x v="1"/>
    <n v="368277"/>
  </r>
  <r>
    <s v="Mohamed Steve"/>
    <m/>
    <x v="0"/>
    <x v="1"/>
    <n v="47609"/>
  </r>
  <r>
    <s v="Magdalene Lasso"/>
    <m/>
    <x v="6"/>
    <x v="0"/>
    <n v="443442"/>
  </r>
  <r>
    <s v="Jannie Rickel"/>
    <m/>
    <x v="5"/>
    <x v="1"/>
    <n v="301652"/>
  </r>
  <r>
    <s v="Josephine Breton"/>
    <m/>
    <x v="5"/>
    <x v="2"/>
    <n v="346405"/>
  </r>
  <r>
    <s v="Cammie Hafford"/>
    <m/>
    <x v="2"/>
    <x v="2"/>
    <n v="168395"/>
  </r>
  <r>
    <s v="Hoa Perdomo"/>
    <m/>
    <x v="2"/>
    <x v="0"/>
    <n v="179950"/>
  </r>
  <r>
    <s v="Augusta Schaible"/>
    <m/>
    <x v="2"/>
    <x v="1"/>
    <n v="96488"/>
  </r>
  <r>
    <s v="Nakia Athens"/>
    <m/>
    <x v="5"/>
    <x v="0"/>
    <n v="332849"/>
  </r>
  <r>
    <s v="Delores Senn"/>
    <m/>
    <x v="0"/>
    <x v="1"/>
    <n v="30168"/>
  </r>
  <r>
    <s v="Karlene Thorn"/>
    <m/>
    <x v="5"/>
    <x v="0"/>
    <n v="251014"/>
  </r>
  <r>
    <s v="Genna Kleckner"/>
    <m/>
    <x v="6"/>
    <x v="1"/>
    <n v="358635"/>
  </r>
  <r>
    <s v="Neoma Shaul"/>
    <m/>
    <x v="0"/>
    <x v="0"/>
    <n v="39208"/>
  </r>
  <r>
    <s v="Chun Golightly"/>
    <m/>
    <x v="0"/>
    <x v="0"/>
    <n v="38846"/>
  </r>
  <r>
    <s v="Keeley Honore"/>
    <m/>
    <x v="0"/>
    <x v="1"/>
    <n v="42807"/>
  </r>
  <r>
    <s v="India Ortiz"/>
    <m/>
    <x v="6"/>
    <x v="1"/>
    <n v="409385"/>
  </r>
  <r>
    <s v="Lovie Hertzler"/>
    <m/>
    <x v="5"/>
    <x v="0"/>
    <n v="276734"/>
  </r>
  <r>
    <s v="Tijuana Basden"/>
    <m/>
    <x v="5"/>
    <x v="2"/>
    <n v="289508"/>
  </r>
  <r>
    <s v="Jesusa Amerine"/>
    <m/>
    <x v="8"/>
    <x v="0"/>
    <n v="27031"/>
  </r>
  <r>
    <s v="Angelo Lucius"/>
    <m/>
    <x v="6"/>
    <x v="2"/>
    <n v="357531"/>
  </r>
  <r>
    <s v="Tamara Hurdle"/>
    <m/>
    <x v="1"/>
    <x v="2"/>
    <n v="18387"/>
  </r>
  <r>
    <s v="Billye Ellingsworth"/>
    <m/>
    <x v="2"/>
    <x v="2"/>
    <n v="158504"/>
  </r>
  <r>
    <s v="Matthew Hume"/>
    <m/>
    <x v="2"/>
    <x v="2"/>
    <n v="78046"/>
  </r>
  <r>
    <s v="Robert Swope"/>
    <m/>
    <x v="7"/>
    <x v="1"/>
    <n v="369520"/>
  </r>
  <r>
    <s v="Shaunte Ankrom"/>
    <m/>
    <x v="0"/>
    <x v="1"/>
    <n v="42406"/>
  </r>
  <r>
    <s v="Jamison Limones"/>
    <m/>
    <x v="8"/>
    <x v="1"/>
    <n v="48925"/>
  </r>
  <r>
    <s v="Marquetta Dubose"/>
    <m/>
    <x v="7"/>
    <x v="0"/>
    <n v="399173"/>
  </r>
  <r>
    <s v="Edna Valtierra"/>
    <m/>
    <x v="5"/>
    <x v="1"/>
    <n v="298988"/>
  </r>
  <r>
    <s v="Janee Hogg"/>
    <m/>
    <x v="2"/>
    <x v="1"/>
    <n v="157695"/>
  </r>
  <r>
    <s v="Tamala Porterfield"/>
    <m/>
    <x v="0"/>
    <x v="1"/>
    <n v="48628"/>
  </r>
  <r>
    <s v="Caryn Sowell"/>
    <m/>
    <x v="2"/>
    <x v="0"/>
    <n v="189206"/>
  </r>
  <r>
    <s v="Jerica Schwein"/>
    <m/>
    <x v="7"/>
    <x v="1"/>
    <n v="402183"/>
  </r>
  <r>
    <s v="Ronny Mayoral"/>
    <m/>
    <x v="0"/>
    <x v="0"/>
    <n v="46435"/>
  </r>
  <r>
    <s v="Retha Pruett"/>
    <m/>
    <x v="2"/>
    <x v="1"/>
    <n v="167770"/>
  </r>
  <r>
    <s v="Caitlin Lamirande"/>
    <m/>
    <x v="1"/>
    <x v="1"/>
    <n v="11759"/>
  </r>
  <r>
    <s v="Skye Kowalski"/>
    <m/>
    <x v="3"/>
    <x v="2"/>
    <n v="843416"/>
  </r>
  <r>
    <s v="Danyell Stapp"/>
    <m/>
    <x v="5"/>
    <x v="1"/>
    <n v="337314"/>
  </r>
  <r>
    <s v="Kindra Didion"/>
    <m/>
    <x v="0"/>
    <x v="1"/>
    <n v="34486"/>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E0AF14C2-BAE4-4FDF-A820-5A3A1200DC46}" name="PivotTable13" cacheId="0" applyNumberFormats="0" applyBorderFormats="0" applyFontFormats="0" applyPatternFormats="0" applyAlignmentFormats="0" applyWidthHeightFormats="1" dataCaption="Values" missingCaption="0" updatedVersion="8" minRefreshableVersion="3" itemPrintTitles="1" createdVersion="8" indent="0" outline="1" outlineData="1" multipleFieldFilters="0">
  <location ref="A3:E14" firstHeaderRow="1" firstDataRow="2" firstDataCol="1"/>
  <pivotFields count="5">
    <pivotField showAll="0"/>
    <pivotField showAll="0"/>
    <pivotField axis="axisRow" showAll="0" sortType="descending">
      <items count="10">
        <item x="8"/>
        <item x="5"/>
        <item x="0"/>
        <item x="7"/>
        <item x="4"/>
        <item x="1"/>
        <item x="2"/>
        <item x="3"/>
        <item x="6"/>
        <item t="default"/>
      </items>
      <autoSortScope>
        <pivotArea dataOnly="0" outline="0" fieldPosition="0">
          <references count="1">
            <reference field="4294967294" count="1" selected="0">
              <x v="0"/>
            </reference>
          </references>
        </pivotArea>
      </autoSortScope>
    </pivotField>
    <pivotField axis="axisCol" showAll="0">
      <items count="4">
        <item x="1"/>
        <item x="2"/>
        <item x="0"/>
        <item t="default"/>
      </items>
    </pivotField>
    <pivotField dataField="1" numFmtId="3" showAll="0"/>
  </pivotFields>
  <rowFields count="1">
    <field x="2"/>
  </rowFields>
  <rowItems count="10">
    <i>
      <x v="1"/>
    </i>
    <i>
      <x v="8"/>
    </i>
    <i>
      <x v="7"/>
    </i>
    <i>
      <x v="3"/>
    </i>
    <i>
      <x v="6"/>
    </i>
    <i>
      <x v="4"/>
    </i>
    <i>
      <x v="2"/>
    </i>
    <i>
      <x/>
    </i>
    <i>
      <x v="5"/>
    </i>
    <i t="grand">
      <x/>
    </i>
  </rowItems>
  <colFields count="1">
    <field x="3"/>
  </colFields>
  <colItems count="4">
    <i>
      <x/>
    </i>
    <i>
      <x v="1"/>
    </i>
    <i>
      <x v="2"/>
    </i>
    <i t="grand">
      <x/>
    </i>
  </colItems>
  <dataFields count="1">
    <dataField name="Sum of Salaries" fld="4" showDataAs="percentOfTotal" baseField="0" baseItem="0" numFmtId="10"/>
  </dataFields>
  <formats count="6">
    <format dxfId="23">
      <pivotArea collapsedLevelsAreSubtotals="1" fieldPosition="0">
        <references count="1">
          <reference field="2" count="1">
            <x v="5"/>
          </reference>
        </references>
      </pivotArea>
    </format>
    <format dxfId="22">
      <pivotArea dataOnly="0" labelOnly="1" fieldPosition="0">
        <references count="1">
          <reference field="2" count="1">
            <x v="5"/>
          </reference>
        </references>
      </pivotArea>
    </format>
    <format dxfId="21">
      <pivotArea collapsedLevelsAreSubtotals="1" fieldPosition="0">
        <references count="1">
          <reference field="2" count="1">
            <x v="2"/>
          </reference>
        </references>
      </pivotArea>
    </format>
    <format dxfId="20">
      <pivotArea dataOnly="0" labelOnly="1" fieldPosition="0">
        <references count="1">
          <reference field="2" count="1">
            <x v="2"/>
          </reference>
        </references>
      </pivotArea>
    </format>
    <format dxfId="19">
      <pivotArea outline="0" collapsedLevelsAreSubtotals="1" fieldPosition="0"/>
    </format>
    <format dxfId="18">
      <pivotArea outline="0" fieldPosition="0">
        <references count="1">
          <reference field="4294967294" count="1">
            <x v="0"/>
          </reference>
        </references>
      </pivotArea>
    </format>
  </formats>
  <conditionalFormats count="2">
    <conditionalFormat priority="1">
      <pivotAreas count="1">
        <pivotArea type="data" outline="0" collapsedLevelsAreSubtotals="1" fieldPosition="0">
          <references count="1">
            <reference field="4294967294" count="1" selected="0">
              <x v="0"/>
            </reference>
          </references>
        </pivotArea>
      </pivotAreas>
    </conditionalFormat>
    <conditionalFormat priority="2">
      <pivotAreas count="1">
        <pivotArea type="data" outline="0" collapsedLevelsAreSubtotals="1" fieldPosition="0">
          <references count="1">
            <reference field="4294967294" count="1" selected="0">
              <x v="0"/>
            </reference>
          </references>
        </pivotArea>
      </pivotAreas>
    </conditionalFormat>
  </conditionalFormats>
  <pivotTableStyleInfo name="PivotStyleLight1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50">
  <rv s="0">
    <fb>44440</fb>
    <v>0</v>
  </rv>
  <rv s="0">
    <fb>74.164000000000001</fb>
    <v>1</v>
  </rv>
  <rv s="0">
    <fb>44470</fb>
    <v>0</v>
  </rv>
  <rv s="0">
    <fb>74.915499999999994</fb>
    <v>1</v>
  </rv>
  <rv s="0">
    <fb>44501</fb>
    <v>0</v>
  </rv>
  <rv s="0">
    <fb>75.09</fb>
    <v>1</v>
  </rv>
  <rv s="0">
    <fb>44531</fb>
    <v>0</v>
  </rv>
  <rv s="0">
    <fb>74.466999999999999</fb>
    <v>1</v>
  </rv>
  <rv s="0">
    <fb>44562</fb>
    <v>0</v>
  </rv>
  <rv s="0">
    <fb>74.528899999999993</fb>
    <v>1</v>
  </rv>
  <rv s="0">
    <fb>44593</fb>
    <v>0</v>
  </rv>
  <rv s="0">
    <fb>75.492999999999995</fb>
    <v>1</v>
  </rv>
  <rv s="0">
    <fb>44621</fb>
    <v>0</v>
  </rv>
  <rv s="0">
    <fb>75.901399999999995</fb>
    <v>1</v>
  </rv>
  <rv s="0">
    <fb>44652</fb>
    <v>0</v>
  </rv>
  <rv s="0">
    <fb>76.52</fb>
    <v>1</v>
  </rv>
  <rv s="0">
    <fb>44682</fb>
    <v>0</v>
  </rv>
  <rv s="0">
    <fb>77.569000000000003</fb>
    <v>1</v>
  </rv>
  <rv s="0">
    <fb>44713</fb>
    <v>0</v>
  </rv>
  <rv s="0">
    <fb>78.95</fb>
    <v>1</v>
  </rv>
  <rv s="0">
    <fb>44743</fb>
    <v>0</v>
  </rv>
  <rv s="0">
    <fb>79.335999999999999</fb>
    <v>1</v>
  </rv>
  <rv s="0">
    <fb>44774</fb>
    <v>0</v>
  </rv>
  <rv s="0">
    <fb>79.491</fb>
    <v>1</v>
  </rv>
  <rv s="0">
    <fb>44805</fb>
    <v>0</v>
  </rv>
  <rv s="0">
    <fb>81.509</fb>
    <v>1</v>
  </rv>
  <rv s="0">
    <fb>44835</fb>
    <v>0</v>
  </rv>
  <rv s="0">
    <fb>82.77</fb>
    <v>1</v>
  </rv>
  <rv s="0">
    <fb>44866</fb>
    <v>0</v>
  </rv>
  <rv s="0">
    <fb>81.358999999999995</fb>
    <v>1</v>
  </rv>
  <rv s="0">
    <fb>44896</fb>
    <v>0</v>
  </rv>
  <rv s="0">
    <fb>82.716999999999999</fb>
    <v>1</v>
  </rv>
  <rv s="0">
    <fb>44927</fb>
    <v>0</v>
  </rv>
  <rv s="0">
    <fb>81.739000000000004</fb>
    <v>1</v>
  </rv>
  <rv s="0">
    <fb>44958</fb>
    <v>0</v>
  </rv>
  <rv s="0">
    <fb>82.64</fb>
    <v>1</v>
  </rv>
  <rv s="0">
    <fb>44986</fb>
    <v>0</v>
  </rv>
  <rv s="0">
    <fb>82.16</fb>
    <v>1</v>
  </rv>
  <rv s="0">
    <fb>45017</fb>
    <v>0</v>
  </rv>
  <rv s="0">
    <fb>81.72</fb>
    <v>1</v>
  </rv>
  <rv s="0">
    <fb>45047</fb>
    <v>0</v>
  </rv>
  <rv s="0">
    <fb>82.68</fb>
    <v>1</v>
  </rv>
  <rv s="0">
    <fb>45078</fb>
    <v>0</v>
  </rv>
  <rv s="0">
    <fb>82.090999999999994</fb>
    <v>1</v>
  </rv>
  <rv s="0">
    <fb>45108</fb>
    <v>0</v>
  </rv>
  <rv s="0">
    <fb>82.24</fb>
    <v>1</v>
  </rv>
  <rv s="0">
    <fb>45139</fb>
    <v>0</v>
  </rv>
  <rv s="0">
    <fb>82.701599999999999</fb>
    <v>1</v>
  </rv>
  <rv s="0">
    <fb>45170</fb>
    <v>0</v>
  </rv>
  <rv s="0">
    <fb>83.03</fb>
    <v>1</v>
  </rv>
</rvData>
</file>

<file path=xl/richData/rdrichvaluestructure.xml><?xml version="1.0" encoding="utf-8"?>
<rvStructures xmlns="http://schemas.microsoft.com/office/spreadsheetml/2017/richdata" count="1">
  <s t="_formattednumber">
    <k n="_Format" t="spb"/>
  </s>
</rvStructures>
</file>

<file path=xl/richData/rdsupportingpropertybag.xml><?xml version="1.0" encoding="utf-8"?>
<supportingPropertyBags xmlns="http://schemas.microsoft.com/office/spreadsheetml/2017/richdata2">
  <spbData count="2">
    <spb s="0">
      <v>1</v>
    </spb>
    <spb s="0">
      <v>2</v>
    </spb>
  </spbData>
</supportingPropertyBags>
</file>

<file path=xl/richData/rdsupportingpropertybagstructure.xml><?xml version="1.0" encoding="utf-8"?>
<spbStructures xmlns="http://schemas.microsoft.com/office/spreadsheetml/2017/richdata2" count="1">
  <s>
    <k n="_Self" t="i"/>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2">
    <x:dxf>
      <x:numFmt numFmtId="19" formatCode="dd/mm/yyyy"/>
    </x:dxf>
    <x:dxf>
      <x:numFmt numFmtId="0" formatCode="General"/>
    </x:dxf>
  </dxfs>
  <richProperties>
    <rPr n="NumberFormat" t="s"/>
  </richProperties>
  <richStyles>
    <rSty dxfid="0"/>
    <rSty dxfid="1">
      <rpv i="0" xml:space="preserve">_ [$₹-en-IN] * #,##0.00_ ;_ [$₹-en-IN] * -#,##0.00_ ;_ [$₹-en-IN] * "-"??_ ;_ @_ </rpv>
    </rSty>
  </richStyles>
</richStyleShee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035388F-9E25-4809-9CFD-E2BE4FC582AB}" name="Employee_Data" displayName="Employee_Data" ref="A6:C58" totalsRowShown="0" headerRowDxfId="29" dataDxfId="28" tableBorderDxfId="27">
  <autoFilter ref="A6:C58" xr:uid="{8CD9A53E-50E3-4A05-8F31-D492B2E08762}"/>
  <tableColumns count="3">
    <tableColumn id="1" xr3:uid="{B8B57F5A-7CB3-4ECB-8618-BC17643A16F2}" name="Name" dataDxfId="26"/>
    <tableColumn id="2" xr3:uid="{265250CD-2197-4FA3-AA79-6F735C16DA19}" name="Email" dataDxfId="25"/>
    <tableColumn id="3" xr3:uid="{FD265E3D-F526-4E07-B386-B97311B188D2}" name="Designation" dataDxfId="24"/>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F8B120F8-7FAE-4294-9DAF-45A3054EA89B}" name="Table5" displayName="Table5" ref="A3:E6" totalsRowShown="0">
  <autoFilter ref="A3:E6" xr:uid="{F8B120F8-7FAE-4294-9DAF-45A3054EA89B}"/>
  <sortState xmlns:xlrd2="http://schemas.microsoft.com/office/spreadsheetml/2017/richdata2" ref="A4:E6">
    <sortCondition ref="E3:E6"/>
  </sortState>
  <tableColumns count="5">
    <tableColumn id="1" xr3:uid="{BA8D2B89-4AEC-46A5-AA9B-9E0DA8D7196B}" name="Name"/>
    <tableColumn id="2" xr3:uid="{AEF7851E-15DB-4F76-B3CF-01E395FECBF9}" name="Email"/>
    <tableColumn id="3" xr3:uid="{B363EEC0-6C17-46F0-837D-4C747F033DDB}" name="Designation"/>
    <tableColumn id="4" xr3:uid="{758C6AAC-9D69-44D6-AD6D-334951CEF455}" name="Department"/>
    <tableColumn id="5" xr3:uid="{70D23953-7208-4BAB-AEB4-06B4C2594EFA}" name="Salaries"/>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328D241-67E3-4317-AD38-B8CDD1613E0A}" name="Table6" displayName="Table6" ref="A3:E5" totalsRowShown="0">
  <autoFilter ref="A3:E5" xr:uid="{5328D241-67E3-4317-AD38-B8CDD1613E0A}"/>
  <tableColumns count="5">
    <tableColumn id="1" xr3:uid="{97286B72-8B11-4669-8526-82ADBEA029D2}" name="Name"/>
    <tableColumn id="2" xr3:uid="{4393CE8D-B379-4735-A8F1-A4608CCB6DAF}" name="Email"/>
    <tableColumn id="3" xr3:uid="{23168BFF-375E-4CE5-9628-2A13BE3B3E4D}" name="Designation"/>
    <tableColumn id="4" xr3:uid="{77715F51-C30A-4CF2-A116-6C5C054F3F52}" name="Department"/>
    <tableColumn id="5" xr3:uid="{BF3CBDF3-ABD8-49D0-837E-AF1742E41F1A}" name="Salaries"/>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62746E7-6D5C-41FC-BAC1-CDA944050BD1}" name="Table4" displayName="Table4" ref="A6:E56" totalsRowShown="0" headerRowDxfId="17" dataDxfId="16" tableBorderDxfId="15">
  <autoFilter ref="A6:E56" xr:uid="{56F529B8-1976-4186-88F0-786B1D4E30A9}"/>
  <tableColumns count="5">
    <tableColumn id="1" xr3:uid="{4C705F7B-CBC0-4539-AB94-B37496209105}" name="Name" dataDxfId="14"/>
    <tableColumn id="2" xr3:uid="{022E7CC0-A38E-4D6F-B81D-1B4C44CD4AF2}" name="Email" dataDxfId="13"/>
    <tableColumn id="3" xr3:uid="{D4B0AE01-FB4B-46FF-9F1A-705902D4CAE5}" name="Designation" dataDxfId="12"/>
    <tableColumn id="4" xr3:uid="{4F35EA78-C56A-44CF-B1B7-B56F6E54FC73}" name="Department" dataDxfId="11"/>
    <tableColumn id="5" xr3:uid="{0C28FFBB-DE72-435C-88BB-BFE2A033DC0F}" name="Salaries" dataDxfId="10"/>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A432A987-35F3-462D-B17E-A81877595D12}" name="Table3" displayName="Table3" ref="A5:C13" totalsRowShown="0" headerRowDxfId="9" tableBorderDxfId="8">
  <autoFilter ref="A5:C13" xr:uid="{A432A987-35F3-462D-B17E-A81877595D12}"/>
  <tableColumns count="3">
    <tableColumn id="1" xr3:uid="{8F79F8D2-97C5-4E17-B22A-8B4D13EFC031}" name="Period" dataDxfId="7"/>
    <tableColumn id="2" xr3:uid="{47F9E399-E755-4ADE-AB9E-D69375478F97}" name="GDP (INR Mn)" dataDxfId="6"/>
    <tableColumn id="3" xr3:uid="{F37F591E-078E-4989-9E65-A85E7FF30F26}" name="Share in World GDP (%)" dataDxfId="5"/>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628F4E3-6083-4AD0-87D0-4BBCB1060BD8}" name="Table1" displayName="Table1" ref="F18:F22" totalsRowShown="0" headerRowDxfId="4" dataDxfId="3">
  <autoFilter ref="F18:F22" xr:uid="{131E53EE-454E-4E6A-9189-77E706814399}"/>
  <tableColumns count="1">
    <tableColumn id="1" xr3:uid="{4392AF81-D3EB-4069-8EB6-391BB4A4C5A0}" name="Discount rates for this Quarter from Experts" dataDxfId="2"/>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6" personId="{5C77EE93-1C0E-4456-ADD4-9894872DB8AF}" id="{BC143844-5600-4881-BAC9-1A8FB697703B}">
    <text/>
  </threadedComment>
  <threadedComment ref="G8" personId="{5C77EE93-1C0E-4456-ADD4-9894872DB8AF}" id="{89DEC991-9153-4E75-BA35-B1B127481F78}">
    <text/>
  </threadedComment>
</ThreadedComment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ww.kagr.club/home"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office.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hyperlink" Target="https://www.fast-standard.org/" TargetMode="External"/><Relationship Id="rId1" Type="http://schemas.openxmlformats.org/officeDocument/2006/relationships/hyperlink" Target="https://www.linkedin.com/posts/amtechinmaya_financialmodelling-decentralised-chinmayaamteexcel-activity-6948872772412395520-0nvz?utm_source=linkedin_share&amp;utm_medium=member_desktop_web" TargetMode="Externa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3.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15.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hyperlink" Target="https://emicalculator.net/" TargetMode="Externa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hyperlink" Target="https://www.worldometers.info/world-population/population-by-country/" TargetMode="External"/></Relationships>
</file>

<file path=xl/worksheets/_rels/sheet2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drawing" Target="../drawings/drawing15.xml"/></Relationships>
</file>

<file path=xl/worksheets/_rels/sheet27.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drawing" Target="../drawings/drawing16.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1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76CE7-EFE7-4FD5-B8AE-75CCD089240D}">
  <sheetPr>
    <tabColor rgb="FFFFFF00"/>
  </sheetPr>
  <dimension ref="A1:J62"/>
  <sheetViews>
    <sheetView showGridLines="0" tabSelected="1" zoomScale="107" workbookViewId="0">
      <selection activeCell="C5" sqref="C5"/>
    </sheetView>
  </sheetViews>
  <sheetFormatPr defaultColWidth="8.86328125" defaultRowHeight="14.25" outlineLevelRow="1" x14ac:dyDescent="0.45"/>
  <cols>
    <col min="1" max="7" width="15.796875" style="307" customWidth="1"/>
    <col min="8" max="8" width="8.796875"/>
    <col min="9" max="10" width="15.796875" style="307" customWidth="1"/>
    <col min="11" max="16384" width="8.86328125" style="307"/>
  </cols>
  <sheetData>
    <row r="1" spans="1:10" x14ac:dyDescent="0.45">
      <c r="A1" s="306" t="s">
        <v>820</v>
      </c>
      <c r="I1" s="308"/>
    </row>
    <row r="3" spans="1:10" x14ac:dyDescent="0.45">
      <c r="G3" s="308"/>
    </row>
    <row r="4" spans="1:10" x14ac:dyDescent="0.45">
      <c r="I4" s="307" t="s">
        <v>838</v>
      </c>
    </row>
    <row r="5" spans="1:10" x14ac:dyDescent="0.45">
      <c r="C5" s="309" t="s">
        <v>821</v>
      </c>
      <c r="D5" s="309" t="s">
        <v>822</v>
      </c>
      <c r="E5" s="309" t="s">
        <v>823</v>
      </c>
      <c r="F5" s="309" t="s">
        <v>824</v>
      </c>
      <c r="G5" s="309" t="s">
        <v>825</v>
      </c>
      <c r="I5" s="309" t="s">
        <v>826</v>
      </c>
      <c r="J5" s="309" t="s">
        <v>837</v>
      </c>
    </row>
    <row r="6" spans="1:10" x14ac:dyDescent="0.45">
      <c r="A6" s="309" t="s">
        <v>383</v>
      </c>
      <c r="B6" s="309" t="s">
        <v>437</v>
      </c>
      <c r="C6" s="309" t="s">
        <v>827</v>
      </c>
      <c r="D6" s="309" t="s">
        <v>828</v>
      </c>
      <c r="E6" s="309" t="s">
        <v>829</v>
      </c>
      <c r="F6" s="309" t="s">
        <v>830</v>
      </c>
      <c r="G6" s="309" t="s">
        <v>831</v>
      </c>
      <c r="I6" s="309" t="s">
        <v>832</v>
      </c>
      <c r="J6" s="309" t="s">
        <v>832</v>
      </c>
    </row>
    <row r="7" spans="1:10" x14ac:dyDescent="0.45">
      <c r="A7" s="310">
        <v>2021</v>
      </c>
      <c r="B7" s="311">
        <v>70000</v>
      </c>
      <c r="C7" s="311">
        <v>70000</v>
      </c>
      <c r="D7" s="324">
        <f>B7</f>
        <v>70000</v>
      </c>
      <c r="E7" s="311">
        <f>SUM(B7,E6)</f>
        <v>70000</v>
      </c>
      <c r="F7" s="311">
        <f>SUM($B$7:B7)</f>
        <v>70000</v>
      </c>
      <c r="G7" s="311">
        <f>SUMIFS($B$7:$B$12,$A$7:$A$12,"&lt;="&amp;A7)</f>
        <v>70000</v>
      </c>
      <c r="I7" s="311"/>
      <c r="J7" s="311"/>
    </row>
    <row r="8" spans="1:10" x14ac:dyDescent="0.45">
      <c r="A8" s="310">
        <v>2022</v>
      </c>
      <c r="B8" s="311">
        <v>60000</v>
      </c>
      <c r="C8" s="311">
        <v>130000</v>
      </c>
      <c r="D8" s="324">
        <f>B8+D7</f>
        <v>130000</v>
      </c>
      <c r="E8" s="311">
        <f t="shared" ref="E8:E12" si="0">SUM(B8,E7)</f>
        <v>130000</v>
      </c>
      <c r="F8" s="311">
        <f>SUM($B$7:B8)</f>
        <v>130000</v>
      </c>
      <c r="G8" s="311">
        <f>SUMIFS($B$7:$B$12,$A$7:$A$12,"&lt;="&amp;A8)</f>
        <v>130000</v>
      </c>
      <c r="I8" s="311"/>
      <c r="J8" s="311"/>
    </row>
    <row r="9" spans="1:10" x14ac:dyDescent="0.45">
      <c r="A9" s="310">
        <v>2023</v>
      </c>
      <c r="B9" s="311">
        <v>55000</v>
      </c>
      <c r="C9" s="311">
        <v>185000</v>
      </c>
      <c r="D9" s="324">
        <f t="shared" ref="D9:D12" si="1">B9+D8</f>
        <v>185000</v>
      </c>
      <c r="E9" s="311">
        <f t="shared" si="0"/>
        <v>185000</v>
      </c>
      <c r="F9" s="311">
        <f>SUM($B$7:B9)</f>
        <v>185000</v>
      </c>
      <c r="G9" s="311">
        <f t="shared" ref="G9:G12" si="2">SUMIFS($B$7:$B$12,$A$7:$A$12,"&lt;="&amp;A9)</f>
        <v>185000</v>
      </c>
      <c r="I9" s="311"/>
      <c r="J9" s="311"/>
    </row>
    <row r="10" spans="1:10" x14ac:dyDescent="0.45">
      <c r="A10" s="310">
        <v>2024</v>
      </c>
      <c r="B10" s="311">
        <v>40000</v>
      </c>
      <c r="C10" s="311">
        <v>225000</v>
      </c>
      <c r="D10" s="324">
        <f t="shared" si="1"/>
        <v>225000</v>
      </c>
      <c r="E10" s="311">
        <f t="shared" si="0"/>
        <v>225000</v>
      </c>
      <c r="F10" s="311">
        <f>SUM($B$7:B10)</f>
        <v>225000</v>
      </c>
      <c r="G10" s="311">
        <f t="shared" si="2"/>
        <v>225000</v>
      </c>
      <c r="I10" s="311"/>
      <c r="J10" s="311"/>
    </row>
    <row r="11" spans="1:10" x14ac:dyDescent="0.45">
      <c r="A11" s="310">
        <v>2025</v>
      </c>
      <c r="B11" s="311">
        <v>30000</v>
      </c>
      <c r="C11" s="311">
        <v>255000</v>
      </c>
      <c r="D11" s="324">
        <f t="shared" si="1"/>
        <v>255000</v>
      </c>
      <c r="E11" s="311">
        <f t="shared" si="0"/>
        <v>255000</v>
      </c>
      <c r="F11" s="311">
        <f>SUM($B$7:B11)</f>
        <v>255000</v>
      </c>
      <c r="G11" s="311">
        <f>SUMIFS($B$7:$B$12,$A$7:$A$12,"&lt;="&amp;A11)</f>
        <v>255000</v>
      </c>
      <c r="I11" s="311"/>
      <c r="J11" s="311"/>
    </row>
    <row r="12" spans="1:10" x14ac:dyDescent="0.45">
      <c r="A12" s="310">
        <v>2026</v>
      </c>
      <c r="B12" s="311">
        <v>20000</v>
      </c>
      <c r="C12" s="311">
        <v>275000</v>
      </c>
      <c r="D12" s="324">
        <f t="shared" si="1"/>
        <v>275000</v>
      </c>
      <c r="E12" s="311">
        <f t="shared" si="0"/>
        <v>275000</v>
      </c>
      <c r="F12" s="311">
        <f>SUM($B$7:B12)</f>
        <v>275000</v>
      </c>
      <c r="G12" s="311">
        <f t="shared" si="2"/>
        <v>275000</v>
      </c>
      <c r="I12" s="311"/>
      <c r="J12" s="311"/>
    </row>
    <row r="15" spans="1:10" x14ac:dyDescent="0.45">
      <c r="G15" s="312"/>
    </row>
    <row r="16" spans="1:10" x14ac:dyDescent="0.45">
      <c r="G16" s="307" t="s">
        <v>416</v>
      </c>
      <c r="H16" t="s">
        <v>843</v>
      </c>
      <c r="I16" s="307" t="str">
        <f>G16&amp;H16</f>
        <v>ChinmayAmte</v>
      </c>
    </row>
    <row r="17" spans="2:9" x14ac:dyDescent="0.45">
      <c r="E17" s="323"/>
      <c r="F17" s="323"/>
      <c r="G17" s="323"/>
    </row>
    <row r="20" spans="2:9" ht="14.65" thickBot="1" x14ac:dyDescent="0.5"/>
    <row r="21" spans="2:9" s="315" customFormat="1" ht="13.5" thickBot="1" x14ac:dyDescent="0.45">
      <c r="B21" s="176" t="s">
        <v>10</v>
      </c>
      <c r="C21" s="313"/>
      <c r="D21" s="313"/>
      <c r="E21" s="313"/>
      <c r="F21" s="313"/>
      <c r="G21" s="313"/>
      <c r="I21" s="314"/>
    </row>
    <row r="22" spans="2:9" s="315" customFormat="1" ht="12.75" outlineLevel="1" x14ac:dyDescent="0.35">
      <c r="B22" s="316"/>
      <c r="I22" s="317"/>
    </row>
    <row r="23" spans="2:9" s="315" customFormat="1" ht="13.15" outlineLevel="1" x14ac:dyDescent="0.4">
      <c r="B23" s="318" t="s">
        <v>833</v>
      </c>
      <c r="I23" s="317"/>
    </row>
    <row r="24" spans="2:9" s="315" customFormat="1" ht="13.15" outlineLevel="1" x14ac:dyDescent="0.4">
      <c r="B24" s="318" t="s">
        <v>834</v>
      </c>
      <c r="I24" s="317"/>
    </row>
    <row r="25" spans="2:9" s="315" customFormat="1" ht="13.15" outlineLevel="1" x14ac:dyDescent="0.4">
      <c r="B25" s="318" t="s">
        <v>835</v>
      </c>
      <c r="I25" s="317"/>
    </row>
    <row r="26" spans="2:9" s="315" customFormat="1" ht="13.15" outlineLevel="1" x14ac:dyDescent="0.4">
      <c r="B26" s="318" t="s">
        <v>836</v>
      </c>
      <c r="I26" s="317"/>
    </row>
    <row r="27" spans="2:9" s="315" customFormat="1" ht="13.15" outlineLevel="1" thickBot="1" x14ac:dyDescent="0.4">
      <c r="B27" s="319"/>
      <c r="C27" s="320"/>
      <c r="D27" s="320"/>
      <c r="E27" s="320"/>
      <c r="F27" s="320"/>
      <c r="G27" s="320"/>
      <c r="I27" s="321"/>
    </row>
    <row r="28" spans="2:9" s="315" customFormat="1" ht="12.75" x14ac:dyDescent="0.35"/>
    <row r="30" spans="2:9" x14ac:dyDescent="0.45">
      <c r="I30" s="322"/>
    </row>
    <row r="31" spans="2:9" x14ac:dyDescent="0.45">
      <c r="I31" s="322"/>
    </row>
    <row r="33" spans="5:9" x14ac:dyDescent="0.45">
      <c r="E33" s="307" t="s">
        <v>416</v>
      </c>
      <c r="I33" s="308"/>
    </row>
    <row r="34" spans="5:9" x14ac:dyDescent="0.45">
      <c r="E34" s="307">
        <v>22</v>
      </c>
    </row>
    <row r="35" spans="5:9" x14ac:dyDescent="0.45">
      <c r="E35" s="307">
        <v>5</v>
      </c>
    </row>
    <row r="36" spans="5:9" x14ac:dyDescent="0.45">
      <c r="E36" s="307" t="e">
        <f>E33+E34+E35</f>
        <v>#VALUE!</v>
      </c>
    </row>
    <row r="37" spans="5:9" x14ac:dyDescent="0.45">
      <c r="E37" s="307">
        <f>SUM(E33:E35)</f>
        <v>27</v>
      </c>
    </row>
    <row r="40" spans="5:9" x14ac:dyDescent="0.45">
      <c r="E40" s="307">
        <v>5</v>
      </c>
    </row>
    <row r="41" spans="5:9" x14ac:dyDescent="0.45">
      <c r="E41" s="307">
        <v>6</v>
      </c>
    </row>
    <row r="42" spans="5:9" x14ac:dyDescent="0.45">
      <c r="E42" s="307" t="e">
        <f>1/0</f>
        <v>#DIV/0!</v>
      </c>
    </row>
    <row r="46" spans="5:9" x14ac:dyDescent="0.45">
      <c r="E46" s="307" t="s">
        <v>842</v>
      </c>
      <c r="F46" s="307" t="s">
        <v>842</v>
      </c>
    </row>
    <row r="47" spans="5:9" x14ac:dyDescent="0.45">
      <c r="E47" s="307" t="s">
        <v>740</v>
      </c>
      <c r="F47" s="325">
        <v>98</v>
      </c>
    </row>
    <row r="48" spans="5:9" x14ac:dyDescent="0.45">
      <c r="E48" s="307" t="s">
        <v>740</v>
      </c>
      <c r="F48" s="325">
        <v>82</v>
      </c>
    </row>
    <row r="49" spans="5:6" x14ac:dyDescent="0.45">
      <c r="E49" s="307" t="s">
        <v>839</v>
      </c>
      <c r="F49" s="307">
        <v>86</v>
      </c>
    </row>
    <row r="50" spans="5:6" x14ac:dyDescent="0.45">
      <c r="E50" s="307" t="s">
        <v>840</v>
      </c>
      <c r="F50" s="307">
        <v>41</v>
      </c>
    </row>
    <row r="51" spans="5:6" x14ac:dyDescent="0.45">
      <c r="E51" s="307" t="s">
        <v>740</v>
      </c>
      <c r="F51" s="325">
        <v>89</v>
      </c>
    </row>
    <row r="52" spans="5:6" x14ac:dyDescent="0.45">
      <c r="E52" s="307" t="s">
        <v>841</v>
      </c>
      <c r="F52" s="307">
        <v>52</v>
      </c>
    </row>
    <row r="55" spans="5:6" x14ac:dyDescent="0.45">
      <c r="E55" s="326" t="s">
        <v>740</v>
      </c>
      <c r="F55" s="307">
        <f>SUMIFS(F47:F52,E47:E52,E55)</f>
        <v>269</v>
      </c>
    </row>
    <row r="62" spans="5:6" x14ac:dyDescent="0.45">
      <c r="E62" s="307" t="s">
        <v>674</v>
      </c>
      <c r="F62" s="307">
        <v>55</v>
      </c>
    </row>
  </sheetData>
  <autoFilter ref="E46:F52" xr:uid="{7A476CE7-EFE7-4FD5-B8AE-75CCD089240D}"/>
  <dataValidations count="2">
    <dataValidation type="list" allowBlank="1" showInputMessage="1" showErrorMessage="1" sqref="E55" xr:uid="{7781B404-E641-4A86-8725-C80404D2BA6D}">
      <formula1>"A,B,C"</formula1>
    </dataValidation>
    <dataValidation type="decimal" allowBlank="1" showInputMessage="1" showErrorMessage="1" sqref="F62" xr:uid="{9B1DE765-CD56-413F-B3A3-BD456F60C824}">
      <formula1>1</formula1>
      <formula2>100</formula2>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29D880-983E-4727-8ED4-FC7282CDB2CC}">
  <sheetPr codeName="Sheet20"/>
  <dimension ref="A1:M30"/>
  <sheetViews>
    <sheetView showGridLines="0" zoomScale="83" zoomScaleNormal="80" workbookViewId="0">
      <selection activeCell="E10" sqref="E10"/>
    </sheetView>
  </sheetViews>
  <sheetFormatPr defaultColWidth="0" defaultRowHeight="12.75" zeroHeight="1" x14ac:dyDescent="0.35"/>
  <cols>
    <col min="1" max="2" width="4.6640625" style="3" customWidth="1"/>
    <col min="3" max="3" width="27.33203125" style="3" bestFit="1" customWidth="1"/>
    <col min="4" max="7" width="8.86328125" style="3" customWidth="1"/>
    <col min="8" max="8" width="100.796875" style="3" customWidth="1"/>
    <col min="9" max="11" width="5.796875" style="3" customWidth="1"/>
    <col min="12" max="12" width="10.19921875" style="3" customWidth="1"/>
    <col min="13" max="13" width="8.86328125" style="3" customWidth="1"/>
    <col min="14" max="16384" width="8.86328125" style="3" hidden="1"/>
  </cols>
  <sheetData>
    <row r="1" spans="1:12" x14ac:dyDescent="0.35"/>
    <row r="2" spans="1:12" ht="17.25" x14ac:dyDescent="0.45">
      <c r="A2" s="203" t="s">
        <v>631</v>
      </c>
    </row>
    <row r="3" spans="1:12" x14ac:dyDescent="0.35"/>
    <row r="4" spans="1:12" ht="15" x14ac:dyDescent="0.4">
      <c r="B4" s="205" t="s">
        <v>611</v>
      </c>
      <c r="C4" s="206"/>
      <c r="D4" s="206"/>
      <c r="E4" s="206"/>
      <c r="F4" s="207"/>
    </row>
    <row r="5" spans="1:12" x14ac:dyDescent="0.35"/>
    <row r="6" spans="1:12" ht="13.15" thickBot="1" x14ac:dyDescent="0.4">
      <c r="B6" s="256">
        <v>1</v>
      </c>
      <c r="C6" s="253" t="s">
        <v>612</v>
      </c>
    </row>
    <row r="7" spans="1:12" ht="13.5" thickBot="1" x14ac:dyDescent="0.45">
      <c r="B7" s="257">
        <v>2</v>
      </c>
      <c r="C7" s="254" t="s">
        <v>613</v>
      </c>
      <c r="H7" s="193" t="s">
        <v>632</v>
      </c>
      <c r="I7" s="186"/>
      <c r="J7" s="186"/>
      <c r="K7" s="186"/>
      <c r="L7" s="187"/>
    </row>
    <row r="8" spans="1:12" ht="13.15" thickBot="1" x14ac:dyDescent="0.4">
      <c r="B8" s="257">
        <v>3</v>
      </c>
      <c r="C8" s="254" t="s">
        <v>614</v>
      </c>
      <c r="H8" s="188" t="s">
        <v>633</v>
      </c>
      <c r="I8" s="189"/>
      <c r="J8" s="189"/>
      <c r="K8" s="189"/>
      <c r="L8" s="190"/>
    </row>
    <row r="9" spans="1:12" ht="13.15" thickBot="1" x14ac:dyDescent="0.4">
      <c r="B9" s="257">
        <v>4</v>
      </c>
      <c r="C9" s="254" t="s">
        <v>615</v>
      </c>
      <c r="E9" s="20" t="s">
        <v>641</v>
      </c>
      <c r="H9" s="188" t="s">
        <v>635</v>
      </c>
      <c r="I9" s="189"/>
      <c r="J9" s="189"/>
      <c r="K9" s="189"/>
      <c r="L9" s="190"/>
    </row>
    <row r="10" spans="1:12" ht="13.15" thickBot="1" x14ac:dyDescent="0.4">
      <c r="B10" s="257">
        <v>5</v>
      </c>
      <c r="C10" s="254" t="s">
        <v>67</v>
      </c>
      <c r="H10" s="208" t="s">
        <v>644</v>
      </c>
      <c r="I10" s="189"/>
      <c r="J10" s="189"/>
      <c r="K10" s="189"/>
      <c r="L10" s="190"/>
    </row>
    <row r="11" spans="1:12" ht="13.5" thickBot="1" x14ac:dyDescent="0.45">
      <c r="B11" s="257">
        <v>6</v>
      </c>
      <c r="C11" s="254" t="s">
        <v>616</v>
      </c>
      <c r="H11" s="185" t="s">
        <v>640</v>
      </c>
      <c r="I11" s="194"/>
      <c r="J11" s="194"/>
      <c r="K11" s="194"/>
      <c r="L11" s="195"/>
    </row>
    <row r="12" spans="1:12" ht="13.5" thickBot="1" x14ac:dyDescent="0.45">
      <c r="B12" s="257">
        <v>7</v>
      </c>
      <c r="C12" s="254" t="s">
        <v>617</v>
      </c>
      <c r="H12" s="185" t="s">
        <v>642</v>
      </c>
      <c r="I12" s="194"/>
      <c r="J12" s="194"/>
      <c r="K12" s="194"/>
      <c r="L12" s="195"/>
    </row>
    <row r="13" spans="1:12" ht="13.15" thickBot="1" x14ac:dyDescent="0.4">
      <c r="B13" s="257">
        <v>8</v>
      </c>
      <c r="C13" s="254" t="s">
        <v>618</v>
      </c>
      <c r="H13" s="188" t="s">
        <v>636</v>
      </c>
      <c r="I13" s="189"/>
      <c r="J13" s="189"/>
      <c r="K13" s="189"/>
      <c r="L13" s="190"/>
    </row>
    <row r="14" spans="1:12" ht="13.15" thickBot="1" x14ac:dyDescent="0.4">
      <c r="B14" s="257">
        <v>9</v>
      </c>
      <c r="C14" s="254" t="s">
        <v>92</v>
      </c>
      <c r="H14" s="188" t="s">
        <v>634</v>
      </c>
      <c r="I14" s="189"/>
      <c r="J14" s="189"/>
      <c r="K14" s="189"/>
      <c r="L14" s="190"/>
    </row>
    <row r="15" spans="1:12" ht="13.15" thickBot="1" x14ac:dyDescent="0.4">
      <c r="B15" s="257">
        <v>10</v>
      </c>
      <c r="C15" s="254" t="s">
        <v>619</v>
      </c>
      <c r="H15" s="196" t="s">
        <v>643</v>
      </c>
      <c r="I15" s="191"/>
      <c r="J15" s="191"/>
      <c r="K15" s="191"/>
      <c r="L15" s="192"/>
    </row>
    <row r="16" spans="1:12" ht="13.15" thickBot="1" x14ac:dyDescent="0.4">
      <c r="B16" s="257">
        <v>11</v>
      </c>
      <c r="C16" s="254" t="s">
        <v>342</v>
      </c>
    </row>
    <row r="17" spans="2:12" ht="13.15" thickBot="1" x14ac:dyDescent="0.4">
      <c r="B17" s="257">
        <v>12</v>
      </c>
      <c r="C17" s="254" t="s">
        <v>196</v>
      </c>
    </row>
    <row r="18" spans="2:12" ht="13.5" thickBot="1" x14ac:dyDescent="0.45">
      <c r="B18" s="257">
        <v>13</v>
      </c>
      <c r="C18" s="254" t="s">
        <v>620</v>
      </c>
      <c r="H18" s="193" t="s">
        <v>627</v>
      </c>
      <c r="I18" s="186"/>
      <c r="J18" s="186"/>
      <c r="K18" s="186"/>
      <c r="L18" s="187"/>
    </row>
    <row r="19" spans="2:12" ht="13.15" thickBot="1" x14ac:dyDescent="0.4">
      <c r="B19" s="257">
        <v>14</v>
      </c>
      <c r="C19" s="254" t="s">
        <v>621</v>
      </c>
      <c r="H19" s="188" t="s">
        <v>628</v>
      </c>
      <c r="I19" s="189"/>
      <c r="J19" s="189"/>
      <c r="K19" s="189"/>
      <c r="L19" s="190"/>
    </row>
    <row r="20" spans="2:12" ht="13.15" thickBot="1" x14ac:dyDescent="0.4">
      <c r="B20" s="257">
        <v>15</v>
      </c>
      <c r="C20" s="254" t="s">
        <v>622</v>
      </c>
      <c r="H20" s="188" t="s">
        <v>629</v>
      </c>
      <c r="I20" s="189"/>
      <c r="J20" s="189"/>
      <c r="K20" s="189"/>
      <c r="L20" s="190"/>
    </row>
    <row r="21" spans="2:12" ht="13.15" thickBot="1" x14ac:dyDescent="0.4">
      <c r="B21" s="257">
        <v>16</v>
      </c>
      <c r="C21" s="254" t="s">
        <v>623</v>
      </c>
      <c r="H21" s="188" t="s">
        <v>630</v>
      </c>
      <c r="I21" s="189"/>
      <c r="J21" s="189"/>
      <c r="K21" s="189"/>
      <c r="L21" s="190"/>
    </row>
    <row r="22" spans="2:12" ht="13.15" thickBot="1" x14ac:dyDescent="0.4">
      <c r="B22" s="257">
        <v>17</v>
      </c>
      <c r="C22" s="254" t="s">
        <v>624</v>
      </c>
      <c r="H22" s="188" t="s">
        <v>639</v>
      </c>
      <c r="I22" s="189"/>
      <c r="J22" s="189"/>
      <c r="K22" s="189"/>
      <c r="L22" s="190"/>
    </row>
    <row r="23" spans="2:12" ht="13.15" thickBot="1" x14ac:dyDescent="0.4">
      <c r="B23" s="257">
        <v>18</v>
      </c>
      <c r="C23" s="254" t="s">
        <v>625</v>
      </c>
      <c r="H23" s="204"/>
      <c r="I23" s="191"/>
      <c r="J23" s="191"/>
      <c r="K23" s="191"/>
      <c r="L23" s="192"/>
    </row>
    <row r="24" spans="2:12" x14ac:dyDescent="0.35">
      <c r="B24" s="258">
        <v>19</v>
      </c>
      <c r="C24" s="255" t="s">
        <v>626</v>
      </c>
    </row>
    <row r="25" spans="2:12" x14ac:dyDescent="0.35"/>
    <row r="26" spans="2:12" ht="13.15" thickBot="1" x14ac:dyDescent="0.4"/>
    <row r="27" spans="2:12" x14ac:dyDescent="0.35">
      <c r="B27" s="197" t="s">
        <v>638</v>
      </c>
      <c r="C27" s="198"/>
      <c r="D27" s="198"/>
      <c r="E27" s="198"/>
      <c r="F27" s="198"/>
      <c r="G27" s="198"/>
      <c r="H27" s="199"/>
    </row>
    <row r="28" spans="2:12" ht="13.15" thickBot="1" x14ac:dyDescent="0.4">
      <c r="B28" s="200" t="s">
        <v>637</v>
      </c>
      <c r="C28" s="201"/>
      <c r="D28" s="201"/>
      <c r="E28" s="201"/>
      <c r="F28" s="201"/>
      <c r="G28" s="201"/>
      <c r="H28" s="202"/>
    </row>
    <row r="29" spans="2:12" x14ac:dyDescent="0.35"/>
    <row r="30" spans="2:12" x14ac:dyDescent="0.35"/>
  </sheetData>
  <hyperlinks>
    <hyperlink ref="C6" location="'3D Lookups'!A1" display="3D Lookups" xr:uid="{3A0D79DB-F3B2-4E7A-90F4-50FA5143A908}"/>
    <hyperlink ref="C7" location="'Approximate Lookups'!A1" display="Approximate Lookups" xr:uid="{A0ED9089-6170-4E8E-9D8E-78D7DCA13490}"/>
    <hyperlink ref="C8" location="'Cell Ref ($) &amp; Dynamic Arrays'!A1" display="Cell Ref ($) &amp; Dynamic Arrays" xr:uid="{D290861F-62A9-41EE-8259-474C56D2FEEC}"/>
    <hyperlink ref="C9" location="'Dashboard &amp; Rankif'!A1" display="Dashboard &amp; Rankif" xr:uid="{A2204218-6E94-4871-8B4E-620138B0B6D3}"/>
    <hyperlink ref="C10" location="'Data Cleaning &amp; Analysis'!A1" display="Data Cleaning &amp; Analysis" xr:uid="{9D4E5C8C-E311-4099-9415-B5D3BD6F5045}"/>
    <hyperlink ref="C11" location="'Data visualization'!A1" display="Data visualization" xr:uid="{A3C9A347-5F3C-4F6B-8484-A917C83C0E90}"/>
    <hyperlink ref="C12" location="'DataTransform - SUBSTITUTE'!A1" display="DataTransform - SUBSTITUTE" xr:uid="{0EF11092-D12E-4A4D-B827-C94A09ABD822}"/>
    <hyperlink ref="C13" location="'DataTypes'!A1" display="DataTypes" xr:uid="{F746458D-C013-448C-BFFF-2A1C1DFCFF85}"/>
    <hyperlink ref="C14" location="'Dateing Tips'!A1" display="Dateing Tips" xr:uid="{26783FAD-5245-488C-8B9B-72F86B536CA8}"/>
    <hyperlink ref="C15" location="'EMI Computations - Goal Seek'!A1" display="EMI Computations - Goal Seek" xr:uid="{2CDD59E0-72BE-4E8C-B704-73883125C7FC}"/>
    <hyperlink ref="C16" location="'Ethos of Business Modelling'!A1" display="Ethos of Business Modelling" xr:uid="{BFBDD1AA-BC2B-41C5-A53F-0A824A14882B}"/>
    <hyperlink ref="C17" location="'Find &amp; Replace'!A1" display="Find &amp; Replace" xr:uid="{5519B9C5-6E62-455B-AB58-F722CB231CDB}"/>
    <hyperlink ref="C18" location="'Lookups'!A1" display="Lookups" xr:uid="{05F40DEC-030E-41D4-9BBC-BBF383056B53}"/>
    <hyperlink ref="C19" location="'Multi-Vlookup'!A1" display="Multi-Vlookup" xr:uid="{317A65A3-BE9C-41B3-BF28-85BF8D102B5C}"/>
    <hyperlink ref="C20" location="'NPV, IRR &amp; DV'!A1" display="NPV, IRR &amp; DV" xr:uid="{6F65E2D9-3B23-428A-9EF1-DA6E132338BF}"/>
    <hyperlink ref="C21" location="'Pivots, Countifs, #, Flash Fill'!A1" display="Pivots, Countifs, #, Flash Fill" xr:uid="{088496D4-CDC0-4922-AFC0-201F7495F6D5}"/>
    <hyperlink ref="C22" location="'PowerQuery'!A1" display="PowerQuery" xr:uid="{57CC2A8F-167F-4A3F-8720-846BB1223F27}"/>
    <hyperlink ref="C23" location="'Revenue Analysis PrimeNum'!A1" display="Revenue Analysis PrimeNum" xr:uid="{2FDE8269-BCDA-4B19-83A9-13DBB3B46899}"/>
    <hyperlink ref="C24" location="'Take_Home_Case_Studies&gt;&gt;'!A1" display="Take_Home_Case_Studies&gt;&gt;" xr:uid="{12F93D86-2FE8-4396-AD06-4DFE0682F35E}"/>
    <hyperlink ref="E9" r:id="rId1" xr:uid="{87EAA1E0-FE65-4803-9B44-BB57A64BA17B}"/>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9765C-EFB6-47C7-AE6D-C25EA2D8873D}">
  <sheetPr codeName="Sheet1">
    <tabColor rgb="FFFFFF00"/>
  </sheetPr>
  <dimension ref="A1:G61"/>
  <sheetViews>
    <sheetView showGridLines="0" topLeftCell="A18" zoomScale="80" zoomScaleNormal="239" workbookViewId="0">
      <selection activeCell="A3" sqref="A3"/>
    </sheetView>
  </sheetViews>
  <sheetFormatPr defaultColWidth="8.86328125" defaultRowHeight="12.75" outlineLevelRow="1" x14ac:dyDescent="0.35"/>
  <cols>
    <col min="1" max="1" width="35.796875" style="3" customWidth="1"/>
    <col min="2" max="5" width="18.796875" style="3" customWidth="1"/>
    <col min="6" max="16384" width="8.86328125" style="3"/>
  </cols>
  <sheetData>
    <row r="1" spans="1:5" ht="13.9" x14ac:dyDescent="0.4">
      <c r="A1" s="1" t="s">
        <v>67</v>
      </c>
    </row>
    <row r="3" spans="1:5" ht="13.15" x14ac:dyDescent="0.4">
      <c r="A3" s="4" t="s">
        <v>68</v>
      </c>
      <c r="B3" s="4" t="s">
        <v>672</v>
      </c>
      <c r="C3" s="4" t="s">
        <v>673</v>
      </c>
      <c r="D3" s="4" t="s">
        <v>674</v>
      </c>
    </row>
    <row r="4" spans="1:5" x14ac:dyDescent="0.35">
      <c r="A4" s="3" t="s">
        <v>416</v>
      </c>
      <c r="B4" s="3" t="s">
        <v>652</v>
      </c>
      <c r="C4" s="3" t="s">
        <v>653</v>
      </c>
      <c r="D4" s="3">
        <v>22</v>
      </c>
      <c r="E4" s="240"/>
    </row>
    <row r="5" spans="1:5" x14ac:dyDescent="0.35">
      <c r="A5" s="3" t="s">
        <v>654</v>
      </c>
      <c r="B5" s="3" t="s">
        <v>655</v>
      </c>
      <c r="C5" s="3" t="s">
        <v>656</v>
      </c>
      <c r="D5" s="3">
        <v>33</v>
      </c>
    </row>
    <row r="6" spans="1:5" x14ac:dyDescent="0.35">
      <c r="A6" s="3" t="s">
        <v>657</v>
      </c>
      <c r="B6" s="3" t="s">
        <v>652</v>
      </c>
      <c r="C6" s="3" t="s">
        <v>658</v>
      </c>
      <c r="D6" s="3">
        <v>24</v>
      </c>
    </row>
    <row r="7" spans="1:5" x14ac:dyDescent="0.35">
      <c r="A7" s="3" t="s">
        <v>659</v>
      </c>
      <c r="B7" s="3" t="s">
        <v>655</v>
      </c>
      <c r="C7" s="3" t="s">
        <v>653</v>
      </c>
      <c r="D7" s="3">
        <v>30</v>
      </c>
    </row>
    <row r="8" spans="1:5" x14ac:dyDescent="0.35">
      <c r="A8" s="3" t="s">
        <v>660</v>
      </c>
      <c r="B8" s="3" t="s">
        <v>652</v>
      </c>
      <c r="C8" s="3" t="s">
        <v>653</v>
      </c>
      <c r="D8" s="3">
        <v>23</v>
      </c>
    </row>
    <row r="9" spans="1:5" x14ac:dyDescent="0.35">
      <c r="A9" s="3" t="s">
        <v>661</v>
      </c>
      <c r="B9" s="3" t="s">
        <v>655</v>
      </c>
      <c r="C9" s="3" t="s">
        <v>656</v>
      </c>
      <c r="D9" s="3">
        <v>26</v>
      </c>
    </row>
    <row r="10" spans="1:5" x14ac:dyDescent="0.35">
      <c r="A10" s="3" t="s">
        <v>662</v>
      </c>
      <c r="B10" s="3" t="s">
        <v>652</v>
      </c>
      <c r="C10" s="3" t="s">
        <v>658</v>
      </c>
      <c r="D10" s="3">
        <v>24</v>
      </c>
    </row>
    <row r="11" spans="1:5" x14ac:dyDescent="0.35">
      <c r="A11" s="3" t="s">
        <v>663</v>
      </c>
      <c r="B11" s="3" t="s">
        <v>655</v>
      </c>
      <c r="C11" s="3" t="s">
        <v>664</v>
      </c>
      <c r="D11" s="3">
        <v>35</v>
      </c>
    </row>
    <row r="12" spans="1:5" x14ac:dyDescent="0.35">
      <c r="A12" s="3" t="s">
        <v>665</v>
      </c>
      <c r="B12" s="3" t="s">
        <v>652</v>
      </c>
      <c r="C12" s="3" t="s">
        <v>653</v>
      </c>
      <c r="D12" s="3">
        <v>37</v>
      </c>
    </row>
    <row r="13" spans="1:5" x14ac:dyDescent="0.35">
      <c r="A13" s="3" t="s">
        <v>666</v>
      </c>
      <c r="B13" s="3" t="s">
        <v>652</v>
      </c>
      <c r="C13" s="3" t="s">
        <v>656</v>
      </c>
      <c r="D13" s="3">
        <v>28</v>
      </c>
    </row>
    <row r="14" spans="1:5" x14ac:dyDescent="0.35">
      <c r="A14" s="3" t="s">
        <v>667</v>
      </c>
      <c r="B14" s="3" t="s">
        <v>655</v>
      </c>
      <c r="C14" s="3" t="s">
        <v>658</v>
      </c>
      <c r="D14" s="3">
        <v>25</v>
      </c>
    </row>
    <row r="15" spans="1:5" x14ac:dyDescent="0.35">
      <c r="A15" s="3" t="s">
        <v>668</v>
      </c>
      <c r="B15" s="3" t="s">
        <v>652</v>
      </c>
      <c r="C15" s="3" t="s">
        <v>658</v>
      </c>
      <c r="D15" s="3">
        <v>31</v>
      </c>
    </row>
    <row r="16" spans="1:5" x14ac:dyDescent="0.35">
      <c r="A16" s="3" t="s">
        <v>669</v>
      </c>
      <c r="B16" s="3" t="s">
        <v>652</v>
      </c>
      <c r="C16" s="3" t="s">
        <v>656</v>
      </c>
      <c r="D16" s="3">
        <v>27</v>
      </c>
    </row>
    <row r="17" spans="1:5" x14ac:dyDescent="0.35">
      <c r="A17" s="3" t="s">
        <v>670</v>
      </c>
      <c r="B17" s="3" t="s">
        <v>655</v>
      </c>
      <c r="C17" s="3" t="s">
        <v>656</v>
      </c>
      <c r="D17" s="3">
        <v>28</v>
      </c>
    </row>
    <row r="18" spans="1:5" x14ac:dyDescent="0.35">
      <c r="A18" s="3" t="s">
        <v>671</v>
      </c>
      <c r="B18" s="3" t="s">
        <v>652</v>
      </c>
      <c r="C18" s="3" t="s">
        <v>656</v>
      </c>
      <c r="D18" s="3">
        <v>29</v>
      </c>
    </row>
    <row r="21" spans="1:5" x14ac:dyDescent="0.35">
      <c r="A21" s="3" t="s">
        <v>69</v>
      </c>
      <c r="B21" s="239">
        <f>AVERAGE(D4:D18)</f>
        <v>28.133333333333333</v>
      </c>
      <c r="C21" s="3" t="str">
        <f ca="1">_xlfn.FORMULATEXT(B21)</f>
        <v>=AVERAGE(D4:D18)</v>
      </c>
    </row>
    <row r="22" spans="1:5" x14ac:dyDescent="0.35">
      <c r="A22" s="240" t="s">
        <v>70</v>
      </c>
      <c r="B22" s="239">
        <f>COUNTIF(C4:C18," Mumbai")</f>
        <v>6</v>
      </c>
      <c r="C22" s="3" t="str">
        <f t="shared" ref="C22:C29" ca="1" si="0">_xlfn.FORMULATEXT(B22)</f>
        <v>=COUNTIF(C4:C18," Mumbai")</v>
      </c>
    </row>
    <row r="23" spans="1:5" x14ac:dyDescent="0.35">
      <c r="A23" s="3" t="s">
        <v>71</v>
      </c>
      <c r="B23" s="239">
        <f>MIN(D4:D18)</f>
        <v>22</v>
      </c>
      <c r="C23" s="3" t="str">
        <f t="shared" ca="1" si="0"/>
        <v>=MIN(D4:D18)</v>
      </c>
    </row>
    <row r="24" spans="1:5" x14ac:dyDescent="0.35">
      <c r="A24" s="3" t="s">
        <v>72</v>
      </c>
      <c r="B24" s="239">
        <f>MAX(D4:D18)</f>
        <v>37</v>
      </c>
      <c r="C24" s="3" t="str">
        <f t="shared" ca="1" si="0"/>
        <v>=MAX(D4:D18)</v>
      </c>
    </row>
    <row r="25" spans="1:5" x14ac:dyDescent="0.35">
      <c r="A25" s="240" t="s">
        <v>73</v>
      </c>
      <c r="B25" s="239">
        <f>SMALL(D4:D18,2)</f>
        <v>23</v>
      </c>
      <c r="C25" s="3" t="str">
        <f t="shared" ca="1" si="0"/>
        <v>=SMALL(D4:D18,2)</v>
      </c>
    </row>
    <row r="26" spans="1:5" x14ac:dyDescent="0.35">
      <c r="A26" s="240" t="s">
        <v>74</v>
      </c>
      <c r="B26" s="239">
        <f>LARGE(D4:D18,2)</f>
        <v>35</v>
      </c>
      <c r="C26" s="3" t="str">
        <f t="shared" ca="1" si="0"/>
        <v>=LARGE(D4:D18,2)</v>
      </c>
    </row>
    <row r="27" spans="1:5" ht="13.15" x14ac:dyDescent="0.4">
      <c r="A27" s="57" t="s">
        <v>75</v>
      </c>
      <c r="B27" s="239">
        <f>COUNTIF(A4:A18,"*c*")</f>
        <v>10</v>
      </c>
      <c r="C27" s="3" t="str">
        <f t="shared" ca="1" si="0"/>
        <v>=COUNTIF(A4:A18,"*c*")</v>
      </c>
      <c r="E27" s="57" t="s">
        <v>675</v>
      </c>
    </row>
    <row r="28" spans="1:5" ht="13.15" x14ac:dyDescent="0.4">
      <c r="A28" s="57" t="s">
        <v>76</v>
      </c>
      <c r="B28" s="239">
        <f>COUNTIF(A4:A18,"c*")</f>
        <v>5</v>
      </c>
      <c r="C28" s="3" t="str">
        <f t="shared" ca="1" si="0"/>
        <v>=COUNTIF(A4:A18,"c*")</v>
      </c>
      <c r="E28" s="57" t="s">
        <v>676</v>
      </c>
    </row>
    <row r="29" spans="1:5" ht="13.15" x14ac:dyDescent="0.4">
      <c r="A29" s="57" t="s">
        <v>77</v>
      </c>
      <c r="B29" s="239">
        <f>COUNTIF(A4:A18,"*c")</f>
        <v>3</v>
      </c>
      <c r="C29" s="3" t="str">
        <f t="shared" ca="1" si="0"/>
        <v>=COUNTIF(A4:A18,"*c")</v>
      </c>
      <c r="E29" s="240" t="s">
        <v>677</v>
      </c>
    </row>
    <row r="30" spans="1:5" x14ac:dyDescent="0.35">
      <c r="E30" s="240" t="s">
        <v>678</v>
      </c>
    </row>
    <row r="32" spans="1:5" ht="13.15" x14ac:dyDescent="0.4">
      <c r="A32" s="4" t="s">
        <v>78</v>
      </c>
      <c r="B32" s="37" t="s">
        <v>79</v>
      </c>
    </row>
    <row r="33" spans="1:4" ht="13.15" x14ac:dyDescent="0.4">
      <c r="A33" s="38" t="s">
        <v>80</v>
      </c>
      <c r="B33" s="39" t="str" cm="1">
        <f t="array" ref="B33:B45">RIGHT(A33:A45,10)</f>
        <v>9465584195</v>
      </c>
      <c r="D33" s="57" t="s">
        <v>679</v>
      </c>
    </row>
    <row r="34" spans="1:4" x14ac:dyDescent="0.35">
      <c r="A34" s="38">
        <v>918394268627</v>
      </c>
      <c r="B34" s="241" t="str">
        <v>8394268627</v>
      </c>
      <c r="D34" s="240" t="s">
        <v>680</v>
      </c>
    </row>
    <row r="35" spans="1:4" x14ac:dyDescent="0.35">
      <c r="A35" s="38" t="s">
        <v>81</v>
      </c>
      <c r="B35" s="39" t="str">
        <v>9736192848</v>
      </c>
    </row>
    <row r="36" spans="1:4" x14ac:dyDescent="0.35">
      <c r="A36" s="40">
        <v>9747648117</v>
      </c>
      <c r="B36" s="39" t="str">
        <v>9747648117</v>
      </c>
      <c r="D36" s="240" t="s">
        <v>681</v>
      </c>
    </row>
    <row r="37" spans="1:4" x14ac:dyDescent="0.35">
      <c r="A37" s="38" t="s">
        <v>82</v>
      </c>
      <c r="B37" s="39" t="str">
        <v>8177924769</v>
      </c>
      <c r="D37" s="240" t="s">
        <v>682</v>
      </c>
    </row>
    <row r="38" spans="1:4" x14ac:dyDescent="0.35">
      <c r="A38" s="40">
        <v>6586666667</v>
      </c>
      <c r="B38" s="39" t="str">
        <v>6586666667</v>
      </c>
    </row>
    <row r="39" spans="1:4" x14ac:dyDescent="0.35">
      <c r="A39" s="40">
        <v>6178191193</v>
      </c>
      <c r="B39" s="241" t="str">
        <v>6178191193</v>
      </c>
      <c r="D39" s="240" t="s">
        <v>683</v>
      </c>
    </row>
    <row r="40" spans="1:4" ht="13.15" x14ac:dyDescent="0.4">
      <c r="A40" s="40">
        <v>6832313457</v>
      </c>
      <c r="B40" s="241" t="str">
        <v>6832313457</v>
      </c>
      <c r="D40" s="243" t="s">
        <v>686</v>
      </c>
    </row>
    <row r="41" spans="1:4" x14ac:dyDescent="0.35">
      <c r="A41" s="38" t="s">
        <v>83</v>
      </c>
      <c r="B41" s="241" t="str">
        <v>1254978742</v>
      </c>
    </row>
    <row r="42" spans="1:4" x14ac:dyDescent="0.35">
      <c r="A42" s="40">
        <v>9339711696</v>
      </c>
      <c r="B42" s="241" t="str">
        <v>9339711696</v>
      </c>
      <c r="D42" s="240" t="s">
        <v>687</v>
      </c>
    </row>
    <row r="43" spans="1:4" x14ac:dyDescent="0.35">
      <c r="A43" s="40">
        <v>8315456678</v>
      </c>
      <c r="B43" s="39" t="str">
        <v>8315456678</v>
      </c>
    </row>
    <row r="44" spans="1:4" x14ac:dyDescent="0.35">
      <c r="A44" s="40">
        <v>7353576182</v>
      </c>
      <c r="B44" s="39" t="str">
        <v>7353576182</v>
      </c>
      <c r="D44" s="240" t="s">
        <v>684</v>
      </c>
    </row>
    <row r="45" spans="1:4" x14ac:dyDescent="0.35">
      <c r="A45" s="40">
        <v>8613783337</v>
      </c>
      <c r="B45" s="39" t="str">
        <v>8613783337</v>
      </c>
    </row>
    <row r="46" spans="1:4" ht="14.25" x14ac:dyDescent="0.45">
      <c r="D46" s="242" t="s">
        <v>685</v>
      </c>
    </row>
    <row r="50" spans="2:7" ht="13.15" thickBot="1" x14ac:dyDescent="0.4"/>
    <row r="51" spans="2:7" ht="13.5" thickBot="1" x14ac:dyDescent="0.45">
      <c r="B51" s="10" t="s">
        <v>10</v>
      </c>
      <c r="C51" s="11"/>
      <c r="D51" s="11"/>
      <c r="E51" s="11"/>
      <c r="F51" s="11"/>
      <c r="G51" s="12"/>
    </row>
    <row r="52" spans="2:7" outlineLevel="1" x14ac:dyDescent="0.35">
      <c r="B52" s="13"/>
      <c r="G52" s="14"/>
    </row>
    <row r="53" spans="2:7" ht="13.15" outlineLevel="1" x14ac:dyDescent="0.4">
      <c r="B53" s="47" t="s">
        <v>84</v>
      </c>
      <c r="G53" s="14"/>
    </row>
    <row r="54" spans="2:7" ht="13.15" outlineLevel="1" x14ac:dyDescent="0.4">
      <c r="B54" s="47" t="s">
        <v>85</v>
      </c>
      <c r="G54" s="14"/>
    </row>
    <row r="55" spans="2:7" ht="13.15" outlineLevel="1" x14ac:dyDescent="0.4">
      <c r="B55" s="47" t="s">
        <v>86</v>
      </c>
      <c r="G55" s="14"/>
    </row>
    <row r="56" spans="2:7" ht="13.15" outlineLevel="1" x14ac:dyDescent="0.4">
      <c r="B56" s="47" t="s">
        <v>87</v>
      </c>
      <c r="G56" s="14"/>
    </row>
    <row r="57" spans="2:7" ht="13.15" outlineLevel="1" x14ac:dyDescent="0.4">
      <c r="B57" s="47" t="s">
        <v>88</v>
      </c>
      <c r="G57" s="14"/>
    </row>
    <row r="58" spans="2:7" ht="13.15" outlineLevel="1" x14ac:dyDescent="0.4">
      <c r="B58" s="47" t="s">
        <v>89</v>
      </c>
      <c r="G58" s="14"/>
    </row>
    <row r="59" spans="2:7" ht="13.15" outlineLevel="1" x14ac:dyDescent="0.4">
      <c r="B59" s="47" t="s">
        <v>90</v>
      </c>
      <c r="G59" s="14"/>
    </row>
    <row r="60" spans="2:7" ht="13.15" outlineLevel="1" x14ac:dyDescent="0.4">
      <c r="B60" s="47" t="s">
        <v>91</v>
      </c>
      <c r="G60" s="14"/>
    </row>
    <row r="61" spans="2:7" ht="13.15" outlineLevel="1" thickBot="1" x14ac:dyDescent="0.4">
      <c r="B61" s="15"/>
      <c r="C61" s="16"/>
      <c r="D61" s="16"/>
      <c r="E61" s="16"/>
      <c r="F61" s="16"/>
      <c r="G61" s="17"/>
    </row>
  </sheetData>
  <hyperlinks>
    <hyperlink ref="D46" r:id="rId1" xr:uid="{18B78114-6FC0-49E0-82D2-1420B5F30A7C}"/>
  </hyperlinks>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56AA1-8F6B-49D4-A29F-E702DB6B8BCE}">
  <dimension ref="A1:E6"/>
  <sheetViews>
    <sheetView zoomScale="256" workbookViewId="0">
      <selection activeCell="E5" sqref="E5"/>
    </sheetView>
  </sheetViews>
  <sheetFormatPr defaultRowHeight="14.25" x14ac:dyDescent="0.45"/>
  <sheetData>
    <row r="1" spans="1:5" x14ac:dyDescent="0.45">
      <c r="A1" t="s">
        <v>742</v>
      </c>
    </row>
    <row r="2" spans="1:5" x14ac:dyDescent="0.45">
      <c r="A2" t="s">
        <v>741</v>
      </c>
    </row>
    <row r="4" spans="1:5" x14ac:dyDescent="0.45">
      <c r="A4" t="s">
        <v>740</v>
      </c>
      <c r="B4">
        <f>_xlfn.UNICODE(A4)</f>
        <v>65</v>
      </c>
    </row>
    <row r="5" spans="1:5" x14ac:dyDescent="0.45">
      <c r="A5" t="s">
        <v>743</v>
      </c>
      <c r="B5">
        <f>_xlfn.UNICODE(A5)</f>
        <v>32</v>
      </c>
      <c r="D5" t="s">
        <v>745</v>
      </c>
      <c r="E5" t="str">
        <f>_xlfn.UNICHAR(32)</f>
        <v xml:space="preserve"> </v>
      </c>
    </row>
    <row r="6" spans="1:5" ht="28.5" x14ac:dyDescent="0.45">
      <c r="A6" s="289" t="s">
        <v>744</v>
      </c>
      <c r="B6">
        <f>_xlfn.UNICODE(A6)</f>
        <v>10</v>
      </c>
      <c r="D6" t="s">
        <v>746</v>
      </c>
      <c r="E6" t="str">
        <f>_xlfn.UNICHAR(10)</f>
        <v xml:space="preserve">
</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81E98-BB07-49C6-AE89-BC380316CBA0}">
  <sheetPr codeName="Sheet2">
    <tabColor rgb="FFFFFF00"/>
  </sheetPr>
  <dimension ref="A1:G33"/>
  <sheetViews>
    <sheetView showGridLines="0" zoomScale="86" zoomScaleNormal="70" workbookViewId="0">
      <selection activeCell="A3" sqref="A3"/>
    </sheetView>
  </sheetViews>
  <sheetFormatPr defaultColWidth="8.86328125" defaultRowHeight="12.75" outlineLevelRow="1" x14ac:dyDescent="0.35"/>
  <cols>
    <col min="1" max="3" width="8.86328125" style="3"/>
    <col min="4" max="5" width="110.796875" style="3" customWidth="1"/>
    <col min="6" max="16384" width="8.86328125" style="3"/>
  </cols>
  <sheetData>
    <row r="1" spans="1:5" s="21" customFormat="1" ht="15" customHeight="1" x14ac:dyDescent="0.4">
      <c r="A1" s="1" t="s">
        <v>251</v>
      </c>
      <c r="B1" s="61"/>
      <c r="C1" s="61"/>
      <c r="D1" s="61"/>
    </row>
    <row r="2" spans="1:5" ht="15" customHeight="1" thickBot="1" x14ac:dyDescent="0.4"/>
    <row r="3" spans="1:5" ht="64.150000000000006" thickBot="1" x14ac:dyDescent="0.4">
      <c r="D3" s="287" t="s">
        <v>252</v>
      </c>
      <c r="E3" s="287" t="str">
        <f>SUBSTITUTE(D3,_xlfn.UNICHAR(10),_xlfn.UNICHAR(32))</f>
        <v>Information abounds, but the real value comes from accurate interpretation and analysis. Whether you’re a technology executive, architect, investor or provider, Gartner gives you a comprehensive view of established and emerging markets so you can understand today’s landscape and plan for tomorrow’s.</v>
      </c>
    </row>
    <row r="4" spans="1:5" ht="15" customHeight="1" x14ac:dyDescent="0.35"/>
    <row r="5" spans="1:5" x14ac:dyDescent="0.35">
      <c r="D5" s="3" t="s">
        <v>253</v>
      </c>
    </row>
    <row r="7" spans="1:5" ht="15" customHeight="1" x14ac:dyDescent="0.35"/>
    <row r="8" spans="1:5" ht="15" customHeight="1" x14ac:dyDescent="0.35">
      <c r="E8" s="279" t="s">
        <v>738</v>
      </c>
    </row>
    <row r="9" spans="1:5" ht="15" customHeight="1" x14ac:dyDescent="0.35">
      <c r="E9" s="279" t="s">
        <v>739</v>
      </c>
    </row>
    <row r="10" spans="1:5" ht="15" customHeight="1" x14ac:dyDescent="0.35"/>
    <row r="11" spans="1:5" ht="15" customHeight="1" x14ac:dyDescent="0.35"/>
    <row r="12" spans="1:5" ht="15" customHeight="1" x14ac:dyDescent="0.35"/>
    <row r="13" spans="1:5" ht="15" customHeight="1" x14ac:dyDescent="0.35"/>
    <row r="14" spans="1:5" ht="15" customHeight="1" x14ac:dyDescent="0.35"/>
    <row r="15" spans="1:5" ht="15" customHeight="1" x14ac:dyDescent="0.35"/>
    <row r="16" spans="1:5" ht="15" customHeight="1" x14ac:dyDescent="0.35">
      <c r="D16" s="62" t="s">
        <v>254</v>
      </c>
      <c r="E16" s="62" t="str">
        <f>SUBSTITUTE(D16,"D","R")</f>
        <v>Riya</v>
      </c>
    </row>
    <row r="17" spans="2:7" ht="15" customHeight="1" x14ac:dyDescent="0.35"/>
    <row r="18" spans="2:7" ht="15" customHeight="1" x14ac:dyDescent="0.35"/>
    <row r="19" spans="2:7" x14ac:dyDescent="0.35">
      <c r="D19" s="288"/>
    </row>
    <row r="22" spans="2:7" ht="13.15" thickBot="1" x14ac:dyDescent="0.4"/>
    <row r="23" spans="2:7" ht="13.5" thickBot="1" x14ac:dyDescent="0.45">
      <c r="B23" s="10" t="s">
        <v>10</v>
      </c>
      <c r="C23" s="11"/>
      <c r="D23" s="11"/>
      <c r="E23" s="11"/>
      <c r="F23" s="11"/>
      <c r="G23" s="12"/>
    </row>
    <row r="24" spans="2:7" outlineLevel="1" x14ac:dyDescent="0.35">
      <c r="B24" s="13"/>
      <c r="G24" s="14"/>
    </row>
    <row r="25" spans="2:7" s="57" customFormat="1" ht="13.15" outlineLevel="1" x14ac:dyDescent="0.4">
      <c r="B25" s="47" t="s">
        <v>255</v>
      </c>
      <c r="G25" s="217"/>
    </row>
    <row r="26" spans="2:7" s="57" customFormat="1" ht="13.15" outlineLevel="1" x14ac:dyDescent="0.4">
      <c r="B26" s="47" t="s">
        <v>256</v>
      </c>
      <c r="G26" s="217"/>
    </row>
    <row r="27" spans="2:7" s="57" customFormat="1" ht="13.15" outlineLevel="1" x14ac:dyDescent="0.4">
      <c r="B27" s="47" t="s">
        <v>257</v>
      </c>
      <c r="G27" s="217"/>
    </row>
    <row r="28" spans="2:7" s="57" customFormat="1" ht="13.15" outlineLevel="1" x14ac:dyDescent="0.4">
      <c r="B28" s="47" t="s">
        <v>258</v>
      </c>
      <c r="G28" s="217"/>
    </row>
    <row r="29" spans="2:7" s="57" customFormat="1" ht="13.15" outlineLevel="1" x14ac:dyDescent="0.4">
      <c r="B29" s="47" t="s">
        <v>259</v>
      </c>
      <c r="G29" s="217"/>
    </row>
    <row r="30" spans="2:7" s="57" customFormat="1" ht="13.15" outlineLevel="1" x14ac:dyDescent="0.4">
      <c r="B30" s="47" t="s">
        <v>260</v>
      </c>
      <c r="G30" s="217"/>
    </row>
    <row r="31" spans="2:7" s="57" customFormat="1" ht="13.15" outlineLevel="1" x14ac:dyDescent="0.4">
      <c r="B31" s="47" t="s">
        <v>261</v>
      </c>
      <c r="G31" s="217"/>
    </row>
    <row r="32" spans="2:7" s="57" customFormat="1" ht="13.15" outlineLevel="1" x14ac:dyDescent="0.4">
      <c r="B32" s="47" t="s">
        <v>262</v>
      </c>
      <c r="G32" s="217"/>
    </row>
    <row r="33" spans="2:7" ht="13.15" outlineLevel="1" thickBot="1" x14ac:dyDescent="0.4">
      <c r="B33" s="15"/>
      <c r="C33" s="16"/>
      <c r="D33" s="16"/>
      <c r="E33" s="16"/>
      <c r="F33" s="16"/>
      <c r="G33" s="17"/>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114892-C9D7-4F7B-84F8-3F6B77C3DCD9}">
  <sheetPr codeName="Sheet3">
    <tabColor rgb="FFFFFF00"/>
  </sheetPr>
  <dimension ref="A1:N49"/>
  <sheetViews>
    <sheetView showGridLines="0" zoomScaleNormal="100" workbookViewId="0">
      <selection activeCell="G22" sqref="G22"/>
    </sheetView>
  </sheetViews>
  <sheetFormatPr defaultColWidth="8.86328125" defaultRowHeight="12.75" outlineLevelRow="1" x14ac:dyDescent="0.35"/>
  <cols>
    <col min="1" max="1" width="25.796875" style="3" customWidth="1"/>
    <col min="2" max="2" width="12.796875" style="3" customWidth="1"/>
    <col min="3" max="3" width="8.86328125" style="3"/>
    <col min="4" max="4" width="10.796875" style="3" bestFit="1" customWidth="1"/>
    <col min="5" max="6" width="10.33203125" style="3" bestFit="1" customWidth="1"/>
    <col min="7" max="8" width="8.86328125" style="3"/>
    <col min="9" max="9" width="10.33203125" style="3" bestFit="1" customWidth="1"/>
    <col min="10" max="10" width="25.86328125" style="3" bestFit="1" customWidth="1"/>
    <col min="11" max="11" width="10.33203125" style="3" bestFit="1" customWidth="1"/>
    <col min="12" max="13" width="8.86328125" style="3"/>
    <col min="14" max="14" width="9.33203125" style="3" bestFit="1" customWidth="1"/>
    <col min="15" max="16384" width="8.86328125" style="3"/>
  </cols>
  <sheetData>
    <row r="1" spans="1:14" ht="13.9" x14ac:dyDescent="0.4">
      <c r="A1" s="1" t="s">
        <v>92</v>
      </c>
    </row>
    <row r="4" spans="1:14" ht="13.15" x14ac:dyDescent="0.4">
      <c r="A4" s="3" t="s">
        <v>93</v>
      </c>
      <c r="B4" s="294">
        <v>1</v>
      </c>
      <c r="D4" s="42">
        <v>1</v>
      </c>
      <c r="F4" s="41" t="s">
        <v>94</v>
      </c>
      <c r="J4" s="3" t="s">
        <v>95</v>
      </c>
      <c r="K4" s="42">
        <v>45318</v>
      </c>
      <c r="M4" s="293" t="s">
        <v>416</v>
      </c>
      <c r="N4" s="3">
        <v>22</v>
      </c>
    </row>
    <row r="5" spans="1:14" x14ac:dyDescent="0.35">
      <c r="A5" s="3" t="s">
        <v>96</v>
      </c>
      <c r="B5" s="294">
        <v>30</v>
      </c>
      <c r="D5" s="42">
        <v>30</v>
      </c>
      <c r="F5" s="43">
        <v>45290</v>
      </c>
      <c r="H5" s="3" t="b">
        <f>ISNUMBER(F5)</f>
        <v>1</v>
      </c>
      <c r="J5" s="3" t="s">
        <v>97</v>
      </c>
      <c r="K5" s="42">
        <v>45324</v>
      </c>
      <c r="M5" s="3" t="b">
        <f>ISNUMBER(M4)</f>
        <v>0</v>
      </c>
      <c r="N5" s="3" t="b">
        <f>ISNUMBER(N4)</f>
        <v>1</v>
      </c>
    </row>
    <row r="6" spans="1:14" ht="13.15" x14ac:dyDescent="0.4">
      <c r="A6" s="3" t="s">
        <v>98</v>
      </c>
      <c r="B6" s="294">
        <v>45318</v>
      </c>
      <c r="D6" s="42">
        <v>45318</v>
      </c>
      <c r="F6" s="43">
        <v>45016</v>
      </c>
      <c r="H6" s="3" t="b">
        <f>ISNUMBER(F6)</f>
        <v>1</v>
      </c>
      <c r="J6" s="3" t="s">
        <v>99</v>
      </c>
      <c r="K6" s="44">
        <f>(K4+K5)/2</f>
        <v>45321</v>
      </c>
      <c r="M6" s="3">
        <f>N(M5)</f>
        <v>0</v>
      </c>
      <c r="N6" s="3">
        <f>N(N5)</f>
        <v>1</v>
      </c>
    </row>
    <row r="7" spans="1:14" x14ac:dyDescent="0.35">
      <c r="A7" s="3" t="s">
        <v>100</v>
      </c>
      <c r="B7" s="294">
        <v>36525</v>
      </c>
      <c r="D7" s="42">
        <v>36525</v>
      </c>
    </row>
    <row r="8" spans="1:14" ht="13.15" x14ac:dyDescent="0.4">
      <c r="J8" s="3" t="s">
        <v>101</v>
      </c>
      <c r="K8" s="44">
        <f>K6+2</f>
        <v>45323</v>
      </c>
    </row>
    <row r="9" spans="1:14" ht="13.15" x14ac:dyDescent="0.4">
      <c r="A9" s="41" t="s">
        <v>102</v>
      </c>
      <c r="F9" s="293" t="s">
        <v>802</v>
      </c>
    </row>
    <row r="10" spans="1:14" x14ac:dyDescent="0.35">
      <c r="A10" s="3" t="s">
        <v>103</v>
      </c>
      <c r="B10" s="3" t="s">
        <v>104</v>
      </c>
      <c r="E10" s="43"/>
      <c r="F10" s="295"/>
    </row>
    <row r="11" spans="1:14" x14ac:dyDescent="0.35">
      <c r="A11" s="3" t="s">
        <v>105</v>
      </c>
      <c r="B11" s="3" t="s">
        <v>106</v>
      </c>
      <c r="E11" s="45"/>
      <c r="F11" s="293"/>
    </row>
    <row r="12" spans="1:14" x14ac:dyDescent="0.35">
      <c r="F12" s="293"/>
    </row>
    <row r="13" spans="1:14" ht="13.15" x14ac:dyDescent="0.4">
      <c r="A13" s="3" t="s">
        <v>107</v>
      </c>
      <c r="B13" s="46" t="s">
        <v>108</v>
      </c>
      <c r="C13" s="43"/>
      <c r="D13" s="236" t="s">
        <v>811</v>
      </c>
      <c r="G13" s="293"/>
    </row>
    <row r="17" spans="1:14" ht="10.8" customHeight="1" x14ac:dyDescent="0.4">
      <c r="A17" s="3" t="s">
        <v>109</v>
      </c>
      <c r="I17" s="44">
        <v>45155</v>
      </c>
      <c r="J17" s="43"/>
      <c r="K17" s="44">
        <f>EDATE(I17,2)</f>
        <v>45216</v>
      </c>
      <c r="N17" s="43">
        <f>I17+60</f>
        <v>45215</v>
      </c>
    </row>
    <row r="19" spans="1:14" ht="13.15" x14ac:dyDescent="0.4">
      <c r="A19" s="3" t="s">
        <v>110</v>
      </c>
      <c r="I19" s="44">
        <v>44920</v>
      </c>
      <c r="K19" s="44">
        <f>EOMONTH(I19,0)+1</f>
        <v>44927</v>
      </c>
    </row>
    <row r="20" spans="1:14" ht="13.15" x14ac:dyDescent="0.4">
      <c r="A20" s="3" t="s">
        <v>111</v>
      </c>
      <c r="K20" s="44"/>
    </row>
    <row r="21" spans="1:14" ht="13.15" x14ac:dyDescent="0.4">
      <c r="A21" s="3" t="s">
        <v>112</v>
      </c>
      <c r="K21" s="44">
        <f>EOMONTH(I19,-1)+1</f>
        <v>44896</v>
      </c>
    </row>
    <row r="23" spans="1:14" ht="13.15" thickBot="1" x14ac:dyDescent="0.4"/>
    <row r="24" spans="1:14" ht="13.5" thickBot="1" x14ac:dyDescent="0.45">
      <c r="B24" s="10" t="s">
        <v>10</v>
      </c>
      <c r="C24" s="11"/>
      <c r="D24" s="11"/>
      <c r="E24" s="11"/>
      <c r="F24" s="11"/>
      <c r="G24" s="11"/>
      <c r="H24" s="11"/>
      <c r="I24" s="11"/>
      <c r="J24" s="11"/>
      <c r="K24" s="11"/>
      <c r="L24" s="11"/>
      <c r="M24" s="11"/>
      <c r="N24" s="12"/>
    </row>
    <row r="25" spans="1:14" outlineLevel="1" x14ac:dyDescent="0.35">
      <c r="B25" s="13"/>
      <c r="N25" s="14"/>
    </row>
    <row r="26" spans="1:14" ht="13.15" outlineLevel="1" x14ac:dyDescent="0.4">
      <c r="B26" s="47" t="s">
        <v>113</v>
      </c>
      <c r="N26" s="14"/>
    </row>
    <row r="27" spans="1:14" s="57" customFormat="1" ht="13.15" outlineLevel="1" x14ac:dyDescent="0.4">
      <c r="B27" s="47" t="s">
        <v>114</v>
      </c>
      <c r="N27" s="217"/>
    </row>
    <row r="28" spans="1:14" s="57" customFormat="1" ht="13.15" outlineLevel="1" x14ac:dyDescent="0.4">
      <c r="B28" s="47" t="s">
        <v>115</v>
      </c>
      <c r="N28" s="217"/>
    </row>
    <row r="29" spans="1:14" s="57" customFormat="1" ht="13.15" outlineLevel="1" x14ac:dyDescent="0.4">
      <c r="B29" s="47" t="s">
        <v>116</v>
      </c>
      <c r="N29" s="217"/>
    </row>
    <row r="30" spans="1:14" s="57" customFormat="1" ht="13.15" outlineLevel="1" x14ac:dyDescent="0.4">
      <c r="B30" s="47" t="s">
        <v>117</v>
      </c>
      <c r="N30" s="217"/>
    </row>
    <row r="31" spans="1:14" s="57" customFormat="1" ht="13.15" outlineLevel="1" x14ac:dyDescent="0.4">
      <c r="B31" s="47" t="s">
        <v>118</v>
      </c>
      <c r="N31" s="217"/>
    </row>
    <row r="32" spans="1:14" s="57" customFormat="1" ht="13.15" outlineLevel="1" x14ac:dyDescent="0.4">
      <c r="B32" s="47" t="s">
        <v>119</v>
      </c>
      <c r="N32" s="217"/>
    </row>
    <row r="33" spans="2:14" ht="13.15" outlineLevel="1" thickBot="1" x14ac:dyDescent="0.4">
      <c r="B33" s="15"/>
      <c r="C33" s="16"/>
      <c r="D33" s="16"/>
      <c r="E33" s="16"/>
      <c r="F33" s="16"/>
      <c r="G33" s="16"/>
      <c r="H33" s="16"/>
      <c r="I33" s="16"/>
      <c r="J33" s="16"/>
      <c r="K33" s="16"/>
      <c r="L33" s="16"/>
      <c r="M33" s="16"/>
      <c r="N33" s="17"/>
    </row>
    <row r="36" spans="2:14" x14ac:dyDescent="0.35">
      <c r="B36" s="43"/>
    </row>
    <row r="38" spans="2:14" x14ac:dyDescent="0.35">
      <c r="B38" s="296" t="s">
        <v>803</v>
      </c>
    </row>
    <row r="39" spans="2:14" x14ac:dyDescent="0.35">
      <c r="B39" s="296" t="s">
        <v>804</v>
      </c>
    </row>
    <row r="40" spans="2:14" x14ac:dyDescent="0.35">
      <c r="B40" s="293" t="s">
        <v>805</v>
      </c>
    </row>
    <row r="43" spans="2:14" x14ac:dyDescent="0.35">
      <c r="B43" s="293" t="s">
        <v>806</v>
      </c>
    </row>
    <row r="44" spans="2:14" x14ac:dyDescent="0.35">
      <c r="B44" s="293" t="s">
        <v>807</v>
      </c>
    </row>
    <row r="47" spans="2:14" x14ac:dyDescent="0.35">
      <c r="B47" s="293" t="s">
        <v>808</v>
      </c>
    </row>
    <row r="48" spans="2:14" x14ac:dyDescent="0.35">
      <c r="B48" s="293" t="s">
        <v>809</v>
      </c>
    </row>
    <row r="49" spans="2:2" x14ac:dyDescent="0.35">
      <c r="B49" s="293" t="s">
        <v>810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6398F6-3945-4787-BB82-1E89EFF4B5E2}">
  <sheetPr codeName="Sheet4">
    <tabColor rgb="FFFFFF00"/>
  </sheetPr>
  <dimension ref="A1:K47"/>
  <sheetViews>
    <sheetView showGridLines="0" topLeftCell="A13" zoomScale="131" zoomScaleNormal="90" workbookViewId="0">
      <selection activeCell="A3" sqref="A3"/>
    </sheetView>
  </sheetViews>
  <sheetFormatPr defaultColWidth="8.86328125" defaultRowHeight="12.75" outlineLevelRow="1" x14ac:dyDescent="0.35"/>
  <cols>
    <col min="1" max="1" width="43.86328125" style="3" bestFit="1" customWidth="1"/>
    <col min="2" max="3" width="15.796875" style="3" customWidth="1"/>
    <col min="4" max="6" width="12.796875" style="3" customWidth="1"/>
    <col min="7" max="8" width="8.86328125" style="3"/>
    <col min="9" max="11" width="10.796875" style="3" customWidth="1"/>
    <col min="12" max="16384" width="8.86328125" style="3"/>
  </cols>
  <sheetData>
    <row r="1" spans="1:5" s="21" customFormat="1" ht="13.9" x14ac:dyDescent="0.4">
      <c r="A1" s="1" t="s">
        <v>31</v>
      </c>
      <c r="C1" s="21" t="s">
        <v>688</v>
      </c>
    </row>
    <row r="2" spans="1:5" x14ac:dyDescent="0.35">
      <c r="C2" s="240" t="s">
        <v>689</v>
      </c>
    </row>
    <row r="3" spans="1:5" x14ac:dyDescent="0.35">
      <c r="C3" s="240" t="s">
        <v>690</v>
      </c>
    </row>
    <row r="4" spans="1:5" ht="13.15" x14ac:dyDescent="0.4">
      <c r="C4" s="57" t="s">
        <v>691</v>
      </c>
    </row>
    <row r="5" spans="1:5" x14ac:dyDescent="0.35">
      <c r="A5" s="22" t="s">
        <v>32</v>
      </c>
    </row>
    <row r="7" spans="1:5" ht="26.25" x14ac:dyDescent="0.4">
      <c r="A7" s="4" t="s">
        <v>33</v>
      </c>
      <c r="B7" s="4" t="s">
        <v>2</v>
      </c>
      <c r="C7" s="4" t="s">
        <v>34</v>
      </c>
    </row>
    <row r="8" spans="1:5" x14ac:dyDescent="0.35">
      <c r="A8" s="3" t="s">
        <v>35</v>
      </c>
      <c r="B8" s="8">
        <v>3616523</v>
      </c>
      <c r="C8" s="23" cm="1">
        <f t="array" ref="C8:C13">B8:B13/B13</f>
        <v>0.16321468929179897</v>
      </c>
      <c r="E8" s="240" t="s">
        <v>692</v>
      </c>
    </row>
    <row r="9" spans="1:5" x14ac:dyDescent="0.35">
      <c r="A9" s="3" t="s">
        <v>36</v>
      </c>
      <c r="B9" s="24">
        <v>4644385</v>
      </c>
      <c r="C9" s="23">
        <v>0.20960238735561526</v>
      </c>
      <c r="E9" s="240" t="s">
        <v>693</v>
      </c>
    </row>
    <row r="10" spans="1:5" x14ac:dyDescent="0.35">
      <c r="A10" s="3" t="s">
        <v>37</v>
      </c>
      <c r="B10" s="8">
        <v>3950786</v>
      </c>
      <c r="C10" s="23">
        <v>0.17830007149087379</v>
      </c>
      <c r="E10" s="240" t="s">
        <v>694</v>
      </c>
    </row>
    <row r="11" spans="1:5" x14ac:dyDescent="0.35">
      <c r="A11" s="3" t="s">
        <v>38</v>
      </c>
      <c r="B11" s="8">
        <v>292120</v>
      </c>
      <c r="C11" s="23">
        <v>1.3183456882735246E-2</v>
      </c>
    </row>
    <row r="12" spans="1:5" x14ac:dyDescent="0.35">
      <c r="A12" s="3" t="s">
        <v>39</v>
      </c>
      <c r="B12" s="8">
        <v>9654259</v>
      </c>
      <c r="C12" s="23">
        <v>0.43569939497897675</v>
      </c>
    </row>
    <row r="13" spans="1:5" ht="13.15" x14ac:dyDescent="0.4">
      <c r="A13" s="25" t="s">
        <v>40</v>
      </c>
      <c r="B13" s="26">
        <f>SUM(B8:B12)</f>
        <v>22158073</v>
      </c>
      <c r="C13" s="244">
        <v>1</v>
      </c>
      <c r="E13" s="240" t="s">
        <v>695</v>
      </c>
    </row>
    <row r="14" spans="1:5" x14ac:dyDescent="0.35">
      <c r="E14" s="240" t="s">
        <v>696</v>
      </c>
    </row>
    <row r="16" spans="1:5" s="27" customFormat="1" ht="5" customHeight="1" x14ac:dyDescent="0.35"/>
    <row r="18" spans="1:11" x14ac:dyDescent="0.35">
      <c r="A18" s="22" t="s">
        <v>41</v>
      </c>
    </row>
    <row r="19" spans="1:11" ht="13.5" thickBot="1" x14ac:dyDescent="0.45">
      <c r="I19" s="28" t="s">
        <v>42</v>
      </c>
      <c r="J19" s="28" t="s">
        <v>43</v>
      </c>
      <c r="K19" s="28" t="s">
        <v>44</v>
      </c>
    </row>
    <row r="20" spans="1:11" ht="13.15" x14ac:dyDescent="0.4">
      <c r="A20" s="29" t="s">
        <v>45</v>
      </c>
      <c r="B20" s="30" t="s">
        <v>46</v>
      </c>
      <c r="C20" s="31" t="s">
        <v>47</v>
      </c>
      <c r="D20" s="32" t="s">
        <v>48</v>
      </c>
      <c r="E20" s="33" t="s">
        <v>49</v>
      </c>
      <c r="F20" s="33" t="s">
        <v>50</v>
      </c>
      <c r="I20" s="247">
        <v>80</v>
      </c>
      <c r="J20" s="247">
        <v>4</v>
      </c>
      <c r="K20" s="247">
        <v>2.5</v>
      </c>
    </row>
    <row r="21" spans="1:11" x14ac:dyDescent="0.35">
      <c r="A21" s="34" cm="1">
        <f t="array" ref="A21:A30">_xlfn.SEQUENCE(10)</f>
        <v>1</v>
      </c>
      <c r="B21" s="35" t="s">
        <v>51</v>
      </c>
      <c r="C21" s="245">
        <v>20</v>
      </c>
      <c r="D21" s="36" cm="1">
        <f t="array" ref="D21:F28">C21:C28*I20:K20</f>
        <v>1600</v>
      </c>
      <c r="E21" s="248">
        <v>80</v>
      </c>
      <c r="F21" s="248">
        <v>50</v>
      </c>
    </row>
    <row r="22" spans="1:11" x14ac:dyDescent="0.35">
      <c r="A22" s="34">
        <v>2</v>
      </c>
      <c r="B22" s="35" t="s">
        <v>52</v>
      </c>
      <c r="C22" s="245">
        <v>10</v>
      </c>
      <c r="D22" s="36">
        <v>800</v>
      </c>
      <c r="E22" s="248">
        <v>40</v>
      </c>
      <c r="F22" s="248">
        <v>25</v>
      </c>
    </row>
    <row r="23" spans="1:11" x14ac:dyDescent="0.35">
      <c r="A23" s="34">
        <v>3</v>
      </c>
      <c r="B23" s="35" t="s">
        <v>53</v>
      </c>
      <c r="C23" s="245">
        <v>83</v>
      </c>
      <c r="D23" s="36">
        <v>6640</v>
      </c>
      <c r="E23" s="248">
        <v>332</v>
      </c>
      <c r="F23" s="248">
        <v>207.5</v>
      </c>
      <c r="H23" s="240" t="s">
        <v>701</v>
      </c>
    </row>
    <row r="24" spans="1:11" x14ac:dyDescent="0.35">
      <c r="A24" s="34">
        <v>4</v>
      </c>
      <c r="B24" s="35" t="s">
        <v>54</v>
      </c>
      <c r="C24" s="245">
        <v>93</v>
      </c>
      <c r="D24" s="36">
        <v>7440</v>
      </c>
      <c r="E24" s="248">
        <v>372</v>
      </c>
      <c r="F24" s="248">
        <v>232.5</v>
      </c>
      <c r="H24" s="240" t="s">
        <v>700</v>
      </c>
    </row>
    <row r="25" spans="1:11" x14ac:dyDescent="0.35">
      <c r="A25" s="34">
        <v>5</v>
      </c>
      <c r="B25" s="35" t="s">
        <v>55</v>
      </c>
      <c r="C25" s="245">
        <v>79</v>
      </c>
      <c r="D25" s="36">
        <v>6320</v>
      </c>
      <c r="E25" s="248">
        <v>316</v>
      </c>
      <c r="F25" s="248">
        <v>197.5</v>
      </c>
      <c r="H25" s="240"/>
    </row>
    <row r="26" spans="1:11" x14ac:dyDescent="0.35">
      <c r="A26" s="34">
        <v>6</v>
      </c>
      <c r="B26" s="35" t="s">
        <v>56</v>
      </c>
      <c r="C26" s="250">
        <v>10</v>
      </c>
      <c r="D26" s="65">
        <v>800</v>
      </c>
      <c r="E26" s="251">
        <v>40</v>
      </c>
      <c r="F26" s="251">
        <v>25</v>
      </c>
      <c r="H26" s="240" t="s">
        <v>702</v>
      </c>
    </row>
    <row r="27" spans="1:11" x14ac:dyDescent="0.35">
      <c r="A27" s="34">
        <v>7</v>
      </c>
      <c r="B27" s="35" t="s">
        <v>57</v>
      </c>
      <c r="C27" s="245">
        <v>91</v>
      </c>
      <c r="D27" s="36">
        <v>7280</v>
      </c>
      <c r="E27" s="248">
        <v>364</v>
      </c>
      <c r="F27" s="248">
        <v>227.5</v>
      </c>
    </row>
    <row r="28" spans="1:11" ht="13.15" thickBot="1" x14ac:dyDescent="0.4">
      <c r="A28" s="34">
        <v>8</v>
      </c>
      <c r="B28" s="35" t="s">
        <v>58</v>
      </c>
      <c r="C28" s="246">
        <v>64</v>
      </c>
      <c r="D28" s="36">
        <v>5120</v>
      </c>
      <c r="E28" s="248">
        <v>256</v>
      </c>
      <c r="F28" s="248">
        <v>160</v>
      </c>
    </row>
    <row r="29" spans="1:11" x14ac:dyDescent="0.35">
      <c r="A29" s="3">
        <v>9</v>
      </c>
    </row>
    <row r="30" spans="1:11" x14ac:dyDescent="0.35">
      <c r="A30" s="3">
        <v>10</v>
      </c>
      <c r="C30" s="240" t="s">
        <v>697</v>
      </c>
    </row>
    <row r="31" spans="1:11" ht="13.15" x14ac:dyDescent="0.4">
      <c r="C31" s="240" t="s">
        <v>698</v>
      </c>
      <c r="D31" s="249" t="s">
        <v>699</v>
      </c>
    </row>
    <row r="32" spans="1:11" ht="13.15" thickBot="1" x14ac:dyDescent="0.4"/>
    <row r="33" spans="1:7" ht="13.5" thickBot="1" x14ac:dyDescent="0.45">
      <c r="B33" s="10" t="s">
        <v>10</v>
      </c>
      <c r="C33" s="11"/>
      <c r="D33" s="11"/>
      <c r="E33" s="11"/>
      <c r="F33" s="11"/>
      <c r="G33" s="12"/>
    </row>
    <row r="34" spans="1:7" outlineLevel="1" x14ac:dyDescent="0.35">
      <c r="B34" s="13"/>
      <c r="G34" s="14"/>
    </row>
    <row r="35" spans="1:7" s="57" customFormat="1" ht="13.15" outlineLevel="1" x14ac:dyDescent="0.4">
      <c r="B35" s="47" t="s">
        <v>59</v>
      </c>
      <c r="G35" s="217"/>
    </row>
    <row r="36" spans="1:7" s="57" customFormat="1" ht="13.15" outlineLevel="1" x14ac:dyDescent="0.4">
      <c r="B36" s="47" t="s">
        <v>60</v>
      </c>
      <c r="G36" s="217"/>
    </row>
    <row r="37" spans="1:7" ht="13.15" outlineLevel="1" x14ac:dyDescent="0.4">
      <c r="B37" s="47" t="s">
        <v>61</v>
      </c>
      <c r="G37" s="14"/>
    </row>
    <row r="38" spans="1:7" ht="13.15" outlineLevel="1" x14ac:dyDescent="0.4">
      <c r="B38" s="47" t="s">
        <v>62</v>
      </c>
      <c r="G38" s="14"/>
    </row>
    <row r="39" spans="1:7" ht="13.15" outlineLevel="1" x14ac:dyDescent="0.4">
      <c r="B39" s="47" t="s">
        <v>63</v>
      </c>
      <c r="G39" s="14"/>
    </row>
    <row r="40" spans="1:7" ht="13.15" outlineLevel="1" x14ac:dyDescent="0.4">
      <c r="B40" s="47" t="s">
        <v>64</v>
      </c>
      <c r="G40" s="14"/>
    </row>
    <row r="41" spans="1:7" ht="13.15" outlineLevel="1" x14ac:dyDescent="0.4">
      <c r="B41" s="47" t="s">
        <v>65</v>
      </c>
      <c r="G41" s="14"/>
    </row>
    <row r="42" spans="1:7" ht="13.15" outlineLevel="1" x14ac:dyDescent="0.4">
      <c r="B42" s="47" t="s">
        <v>66</v>
      </c>
      <c r="G42" s="14"/>
    </row>
    <row r="43" spans="1:7" ht="13.15" outlineLevel="1" thickBot="1" x14ac:dyDescent="0.4">
      <c r="B43" s="15"/>
      <c r="C43" s="16"/>
      <c r="D43" s="16"/>
      <c r="E43" s="16"/>
      <c r="F43" s="16"/>
      <c r="G43" s="17"/>
    </row>
    <row r="47" spans="1:7" x14ac:dyDescent="0.35">
      <c r="A47" s="240"/>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49FEA4-F8C6-43C6-A9E1-EF1FB2A27F5A}">
  <sheetPr codeName="Sheet5">
    <tabColor rgb="FFFFFF00"/>
  </sheetPr>
  <dimension ref="A1:I51"/>
  <sheetViews>
    <sheetView showGridLines="0" topLeftCell="A2" zoomScale="85" workbookViewId="0">
      <selection activeCell="A3" sqref="A3"/>
    </sheetView>
  </sheetViews>
  <sheetFormatPr defaultColWidth="8.86328125" defaultRowHeight="12.75" outlineLevelRow="1" x14ac:dyDescent="0.35"/>
  <cols>
    <col min="1" max="1" width="46.1328125" style="3" customWidth="1"/>
    <col min="2" max="2" width="16.6640625" style="3" customWidth="1"/>
    <col min="3" max="16384" width="8.86328125" style="3"/>
  </cols>
  <sheetData>
    <row r="1" spans="1:9" ht="13.9" x14ac:dyDescent="0.4">
      <c r="A1" s="1" t="s">
        <v>342</v>
      </c>
    </row>
    <row r="5" spans="1:9" ht="13.15" x14ac:dyDescent="0.4">
      <c r="A5" s="48" t="s">
        <v>343</v>
      </c>
      <c r="B5" s="64" t="s">
        <v>344</v>
      </c>
    </row>
    <row r="6" spans="1:9" x14ac:dyDescent="0.35">
      <c r="A6" s="3" t="s">
        <v>345</v>
      </c>
      <c r="B6" s="65">
        <v>100000</v>
      </c>
    </row>
    <row r="7" spans="1:9" x14ac:dyDescent="0.35">
      <c r="A7" s="3" t="s">
        <v>346</v>
      </c>
      <c r="B7" s="65">
        <v>50000</v>
      </c>
    </row>
    <row r="8" spans="1:9" ht="13.15" x14ac:dyDescent="0.4">
      <c r="A8" s="51" t="s">
        <v>347</v>
      </c>
      <c r="B8" s="66">
        <f>B6-B7</f>
        <v>50000</v>
      </c>
    </row>
    <row r="9" spans="1:9" x14ac:dyDescent="0.35">
      <c r="A9" s="3" t="s">
        <v>348</v>
      </c>
      <c r="B9" s="65">
        <v>30000</v>
      </c>
    </row>
    <row r="10" spans="1:9" ht="13.15" x14ac:dyDescent="0.4">
      <c r="A10" s="51" t="s">
        <v>349</v>
      </c>
      <c r="B10" s="66">
        <f>B8-B9</f>
        <v>20000</v>
      </c>
    </row>
    <row r="11" spans="1:9" x14ac:dyDescent="0.35">
      <c r="A11" s="3" t="s">
        <v>350</v>
      </c>
      <c r="B11" s="65">
        <v>3000</v>
      </c>
    </row>
    <row r="12" spans="1:9" x14ac:dyDescent="0.35">
      <c r="A12" s="3" t="s">
        <v>351</v>
      </c>
      <c r="B12" s="65">
        <v>2000</v>
      </c>
    </row>
    <row r="13" spans="1:9" ht="13.15" x14ac:dyDescent="0.4">
      <c r="A13" s="51" t="s">
        <v>352</v>
      </c>
      <c r="B13" s="66">
        <f>B10+B11-B12</f>
        <v>21000</v>
      </c>
    </row>
    <row r="14" spans="1:9" x14ac:dyDescent="0.35">
      <c r="A14" s="3" t="s">
        <v>353</v>
      </c>
      <c r="B14" s="65">
        <f>MAX(0,B13*B19)</f>
        <v>10500</v>
      </c>
      <c r="D14" s="259" t="s">
        <v>713</v>
      </c>
    </row>
    <row r="15" spans="1:9" ht="13.15" x14ac:dyDescent="0.4">
      <c r="A15" s="51" t="s">
        <v>211</v>
      </c>
      <c r="B15" s="263">
        <f>B13-B14</f>
        <v>10500</v>
      </c>
      <c r="E15" s="259" t="s">
        <v>709</v>
      </c>
    </row>
    <row r="16" spans="1:9" x14ac:dyDescent="0.35">
      <c r="H16" s="3">
        <v>1</v>
      </c>
      <c r="I16" s="259" t="s">
        <v>710</v>
      </c>
    </row>
    <row r="17" spans="1:9" ht="13.15" x14ac:dyDescent="0.4">
      <c r="D17" s="261" t="s">
        <v>714</v>
      </c>
      <c r="H17" s="3">
        <v>2</v>
      </c>
      <c r="I17" s="259" t="s">
        <v>711</v>
      </c>
    </row>
    <row r="18" spans="1:9" ht="13.15" x14ac:dyDescent="0.4">
      <c r="A18" s="67" t="s">
        <v>354</v>
      </c>
      <c r="H18" s="3">
        <v>3</v>
      </c>
      <c r="I18" s="259" t="s">
        <v>712</v>
      </c>
    </row>
    <row r="19" spans="1:9" ht="13.15" x14ac:dyDescent="0.4">
      <c r="A19" s="3" t="s">
        <v>355</v>
      </c>
      <c r="B19" s="68">
        <v>0.5</v>
      </c>
      <c r="D19" s="260" t="s">
        <v>715</v>
      </c>
      <c r="E19" s="6"/>
    </row>
    <row r="21" spans="1:9" x14ac:dyDescent="0.35">
      <c r="B21" s="8"/>
    </row>
    <row r="22" spans="1:9" ht="13.15" x14ac:dyDescent="0.4">
      <c r="A22" s="69" t="s">
        <v>356</v>
      </c>
      <c r="B22" s="265">
        <f>B15</f>
        <v>10500</v>
      </c>
      <c r="E22" s="259" t="s">
        <v>718</v>
      </c>
      <c r="F22" s="3">
        <v>3</v>
      </c>
    </row>
    <row r="23" spans="1:9" x14ac:dyDescent="0.35">
      <c r="A23" s="262">
        <v>0</v>
      </c>
      <c r="B23" s="70">
        <f t="dataTable" ref="B23:B28" dt2D="0" dtr="0" r1="B19"/>
        <v>21000</v>
      </c>
      <c r="C23" s="3">
        <v>21000</v>
      </c>
      <c r="F23" s="259" t="s">
        <v>716</v>
      </c>
    </row>
    <row r="24" spans="1:9" x14ac:dyDescent="0.35">
      <c r="A24" s="262">
        <v>0.1</v>
      </c>
      <c r="B24" s="70">
        <v>18900</v>
      </c>
      <c r="C24" s="3">
        <v>18900</v>
      </c>
      <c r="F24" s="259" t="s">
        <v>717</v>
      </c>
    </row>
    <row r="25" spans="1:9" x14ac:dyDescent="0.35">
      <c r="A25" s="262">
        <v>0.2</v>
      </c>
      <c r="B25" s="70">
        <v>16800</v>
      </c>
    </row>
    <row r="26" spans="1:9" x14ac:dyDescent="0.35">
      <c r="A26" s="262">
        <v>0.3</v>
      </c>
      <c r="B26" s="70">
        <v>14700</v>
      </c>
    </row>
    <row r="27" spans="1:9" x14ac:dyDescent="0.35">
      <c r="A27" s="262">
        <v>0.4</v>
      </c>
      <c r="B27" s="70">
        <v>12600</v>
      </c>
    </row>
    <row r="28" spans="1:9" x14ac:dyDescent="0.35">
      <c r="A28" s="262">
        <v>0.5</v>
      </c>
      <c r="B28" s="70">
        <v>10500</v>
      </c>
      <c r="C28" s="3">
        <v>10500</v>
      </c>
    </row>
    <row r="31" spans="1:9" s="71" customFormat="1" x14ac:dyDescent="0.35">
      <c r="A31" s="71" t="s">
        <v>357</v>
      </c>
      <c r="B31" s="20" t="str">
        <f>HYPERLINK(C31,"Resources")</f>
        <v>Resources</v>
      </c>
      <c r="C31" s="72" t="s">
        <v>358</v>
      </c>
      <c r="D31" s="73"/>
    </row>
    <row r="32" spans="1:9" x14ac:dyDescent="0.35">
      <c r="A32" s="3" t="s">
        <v>359</v>
      </c>
      <c r="B32" s="20" t="str">
        <f>HYPERLINK(C32,"FAST Certification")</f>
        <v>FAST Certification</v>
      </c>
      <c r="C32" s="20" t="s">
        <v>360</v>
      </c>
    </row>
    <row r="35" spans="2:7" ht="13.15" thickBot="1" x14ac:dyDescent="0.4"/>
    <row r="36" spans="2:7" ht="13.5" thickBot="1" x14ac:dyDescent="0.45">
      <c r="B36" s="10" t="s">
        <v>10</v>
      </c>
      <c r="C36" s="11"/>
      <c r="D36" s="11"/>
      <c r="E36" s="11"/>
      <c r="F36" s="11"/>
      <c r="G36" s="12"/>
    </row>
    <row r="37" spans="2:7" outlineLevel="1" x14ac:dyDescent="0.35">
      <c r="B37" s="13"/>
      <c r="G37" s="14"/>
    </row>
    <row r="38" spans="2:7" s="57" customFormat="1" ht="13.15" outlineLevel="1" x14ac:dyDescent="0.4">
      <c r="B38" s="47" t="s">
        <v>361</v>
      </c>
      <c r="G38" s="217"/>
    </row>
    <row r="39" spans="2:7" s="57" customFormat="1" ht="13.15" outlineLevel="1" x14ac:dyDescent="0.4">
      <c r="B39" s="47" t="s">
        <v>362</v>
      </c>
      <c r="G39" s="217"/>
    </row>
    <row r="40" spans="2:7" s="57" customFormat="1" ht="13.15" outlineLevel="1" x14ac:dyDescent="0.4">
      <c r="B40" s="47" t="s">
        <v>363</v>
      </c>
      <c r="G40" s="217"/>
    </row>
    <row r="41" spans="2:7" s="57" customFormat="1" ht="13.15" outlineLevel="1" x14ac:dyDescent="0.4">
      <c r="B41" s="47" t="s">
        <v>364</v>
      </c>
      <c r="G41" s="217"/>
    </row>
    <row r="42" spans="2:7" s="57" customFormat="1" ht="13.15" outlineLevel="1" x14ac:dyDescent="0.4">
      <c r="B42" s="47" t="s">
        <v>365</v>
      </c>
      <c r="G42" s="217"/>
    </row>
    <row r="43" spans="2:7" s="57" customFormat="1" ht="13.15" outlineLevel="1" x14ac:dyDescent="0.4">
      <c r="B43" s="47" t="s">
        <v>366</v>
      </c>
      <c r="G43" s="217"/>
    </row>
    <row r="44" spans="2:7" s="57" customFormat="1" ht="13.15" outlineLevel="1" x14ac:dyDescent="0.4">
      <c r="B44" s="47" t="s">
        <v>367</v>
      </c>
      <c r="G44" s="217"/>
    </row>
    <row r="45" spans="2:7" ht="13.15" outlineLevel="1" x14ac:dyDescent="0.4">
      <c r="B45" s="47" t="s">
        <v>368</v>
      </c>
      <c r="G45" s="14"/>
    </row>
    <row r="46" spans="2:7" ht="13.15" outlineLevel="1" thickBot="1" x14ac:dyDescent="0.4">
      <c r="B46" s="15"/>
      <c r="C46" s="16"/>
      <c r="D46" s="16"/>
      <c r="E46" s="16"/>
      <c r="F46" s="16"/>
      <c r="G46" s="17"/>
    </row>
    <row r="50" spans="1:7" x14ac:dyDescent="0.35">
      <c r="A50" s="3" t="s">
        <v>356</v>
      </c>
      <c r="B50" s="264">
        <v>0</v>
      </c>
      <c r="C50" s="264">
        <v>0.1</v>
      </c>
      <c r="D50" s="264">
        <v>0.2</v>
      </c>
      <c r="E50" s="264">
        <v>0.3</v>
      </c>
      <c r="F50" s="264">
        <v>0.4</v>
      </c>
      <c r="G50" s="264">
        <v>0.5</v>
      </c>
    </row>
    <row r="51" spans="1:7" x14ac:dyDescent="0.35">
      <c r="A51" s="8">
        <f>B15</f>
        <v>10500</v>
      </c>
      <c r="B51" s="3">
        <f t="dataTable" ref="B51:G51" dt2D="0" dtr="1" r1="B19" ca="1"/>
        <v>21000</v>
      </c>
      <c r="C51" s="3">
        <v>18900</v>
      </c>
      <c r="D51" s="3">
        <v>16800</v>
      </c>
      <c r="E51" s="3">
        <v>14700</v>
      </c>
      <c r="F51" s="3">
        <v>12600</v>
      </c>
      <c r="G51" s="3">
        <v>10500</v>
      </c>
    </row>
  </sheetData>
  <hyperlinks>
    <hyperlink ref="C31" r:id="rId1" xr:uid="{C2ED799F-C1E5-4A09-AFA3-06F25BA36309}"/>
    <hyperlink ref="C32" r:id="rId2" xr:uid="{A9BF60FC-EEAB-4F26-91D5-43554D2AFD41}"/>
  </hyperlinks>
  <pageMargins left="0.7" right="0.7" top="0.75" bottom="0.75" header="0.3" footer="0.3"/>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5C045-19E2-4D13-9FF9-3DDBF8732AAC}">
  <sheetPr codeName="Sheet6">
    <tabColor rgb="FFFFFF00"/>
  </sheetPr>
  <dimension ref="A1:I36"/>
  <sheetViews>
    <sheetView showGridLines="0" zoomScale="115" zoomScaleNormal="115" workbookViewId="0">
      <selection activeCell="A3" sqref="A3"/>
    </sheetView>
  </sheetViews>
  <sheetFormatPr defaultColWidth="8.86328125" defaultRowHeight="12.75" outlineLevelRow="1" x14ac:dyDescent="0.35"/>
  <cols>
    <col min="1" max="1" width="25.796875" style="3" customWidth="1"/>
    <col min="2" max="2" width="16.796875" style="3" customWidth="1"/>
    <col min="3" max="16384" width="8.86328125" style="3"/>
  </cols>
  <sheetData>
    <row r="1" spans="1:4" ht="13.9" x14ac:dyDescent="0.4">
      <c r="A1" s="1" t="s">
        <v>196</v>
      </c>
    </row>
    <row r="3" spans="1:4" ht="13.15" x14ac:dyDescent="0.4">
      <c r="A3" s="4" t="s">
        <v>197</v>
      </c>
      <c r="B3" s="4" t="s">
        <v>198</v>
      </c>
    </row>
    <row r="4" spans="1:4" x14ac:dyDescent="0.35">
      <c r="A4" s="3" t="s">
        <v>199</v>
      </c>
      <c r="B4" s="8">
        <v>2</v>
      </c>
    </row>
    <row r="5" spans="1:4" x14ac:dyDescent="0.35">
      <c r="A5" s="3" t="s">
        <v>200</v>
      </c>
      <c r="B5" s="8">
        <v>5</v>
      </c>
    </row>
    <row r="6" spans="1:4" x14ac:dyDescent="0.35">
      <c r="A6" s="3" t="s">
        <v>201</v>
      </c>
      <c r="B6" s="8">
        <v>4</v>
      </c>
    </row>
    <row r="7" spans="1:4" ht="13.15" x14ac:dyDescent="0.4">
      <c r="A7" s="51" t="s">
        <v>40</v>
      </c>
      <c r="B7" s="52">
        <f>B4+B5+B6</f>
        <v>11</v>
      </c>
      <c r="D7" s="240" t="s">
        <v>704</v>
      </c>
    </row>
    <row r="8" spans="1:4" x14ac:dyDescent="0.35">
      <c r="D8" s="240" t="s">
        <v>708</v>
      </c>
    </row>
    <row r="9" spans="1:4" ht="25.5" x14ac:dyDescent="0.35">
      <c r="A9" s="53" t="s">
        <v>202</v>
      </c>
      <c r="B9" s="54">
        <v>11</v>
      </c>
      <c r="D9" s="240" t="s">
        <v>705</v>
      </c>
    </row>
    <row r="10" spans="1:4" x14ac:dyDescent="0.35">
      <c r="D10" s="240" t="s">
        <v>706</v>
      </c>
    </row>
    <row r="11" spans="1:4" x14ac:dyDescent="0.35">
      <c r="D11" s="240" t="s">
        <v>707</v>
      </c>
    </row>
    <row r="12" spans="1:4" x14ac:dyDescent="0.35">
      <c r="A12" s="3" t="s">
        <v>203</v>
      </c>
      <c r="B12" s="55">
        <v>1000</v>
      </c>
      <c r="D12" s="55"/>
    </row>
    <row r="13" spans="1:4" x14ac:dyDescent="0.35">
      <c r="A13" s="3" t="s">
        <v>204</v>
      </c>
      <c r="B13" s="55">
        <v>-500</v>
      </c>
      <c r="D13" s="55"/>
    </row>
    <row r="14" spans="1:4" x14ac:dyDescent="0.35">
      <c r="A14" s="3" t="s">
        <v>205</v>
      </c>
      <c r="B14" s="56">
        <v>0</v>
      </c>
      <c r="D14" s="56"/>
    </row>
    <row r="15" spans="1:4" x14ac:dyDescent="0.35">
      <c r="A15" s="3" t="s">
        <v>206</v>
      </c>
      <c r="B15" s="55">
        <v>-10</v>
      </c>
      <c r="D15" s="55"/>
    </row>
    <row r="16" spans="1:4" x14ac:dyDescent="0.35">
      <c r="A16" s="3" t="s">
        <v>207</v>
      </c>
      <c r="B16" s="56">
        <v>0</v>
      </c>
      <c r="D16" s="56"/>
    </row>
    <row r="17" spans="1:9" x14ac:dyDescent="0.35">
      <c r="A17" s="3" t="s">
        <v>208</v>
      </c>
      <c r="B17" s="55">
        <v>-55</v>
      </c>
      <c r="D17" s="55"/>
    </row>
    <row r="18" spans="1:9" x14ac:dyDescent="0.35">
      <c r="A18" s="3" t="s">
        <v>209</v>
      </c>
      <c r="B18" s="55">
        <v>0</v>
      </c>
      <c r="D18" s="55"/>
    </row>
    <row r="19" spans="1:9" x14ac:dyDescent="0.35">
      <c r="A19" s="3" t="s">
        <v>210</v>
      </c>
      <c r="B19" s="55">
        <v>-35</v>
      </c>
      <c r="D19" s="55"/>
    </row>
    <row r="20" spans="1:9" ht="13.15" x14ac:dyDescent="0.4">
      <c r="A20" s="57" t="s">
        <v>211</v>
      </c>
      <c r="B20" s="58">
        <f>SUM(B12:B19)</f>
        <v>400</v>
      </c>
      <c r="D20" s="58"/>
    </row>
    <row r="23" spans="1:9" ht="13.15" thickBot="1" x14ac:dyDescent="0.4"/>
    <row r="24" spans="1:9" ht="13.5" thickBot="1" x14ac:dyDescent="0.45">
      <c r="B24" s="10" t="s">
        <v>10</v>
      </c>
      <c r="C24" s="11"/>
      <c r="D24" s="11"/>
      <c r="E24" s="11"/>
      <c r="F24" s="11"/>
      <c r="G24" s="11"/>
      <c r="H24" s="11"/>
      <c r="I24" s="12"/>
    </row>
    <row r="25" spans="1:9" outlineLevel="1" x14ac:dyDescent="0.35">
      <c r="B25" s="13"/>
      <c r="I25" s="14"/>
    </row>
    <row r="26" spans="1:9" s="57" customFormat="1" ht="13.15" outlineLevel="1" x14ac:dyDescent="0.4">
      <c r="B26" s="47" t="s">
        <v>212</v>
      </c>
      <c r="I26" s="217"/>
    </row>
    <row r="27" spans="1:9" s="57" customFormat="1" ht="13.15" outlineLevel="1" x14ac:dyDescent="0.4">
      <c r="B27" s="47" t="s">
        <v>213</v>
      </c>
      <c r="I27" s="217"/>
    </row>
    <row r="28" spans="1:9" s="57" customFormat="1" ht="13.15" outlineLevel="1" x14ac:dyDescent="0.4">
      <c r="B28" s="47" t="s">
        <v>214</v>
      </c>
      <c r="I28" s="217"/>
    </row>
    <row r="29" spans="1:9" s="57" customFormat="1" ht="13.15" outlineLevel="1" x14ac:dyDescent="0.4">
      <c r="B29" s="47" t="s">
        <v>215</v>
      </c>
      <c r="I29" s="217"/>
    </row>
    <row r="30" spans="1:9" s="57" customFormat="1" ht="13.15" outlineLevel="1" x14ac:dyDescent="0.4">
      <c r="B30" s="47" t="s">
        <v>216</v>
      </c>
      <c r="I30" s="217"/>
    </row>
    <row r="31" spans="1:9" s="57" customFormat="1" ht="13.15" outlineLevel="1" x14ac:dyDescent="0.4">
      <c r="B31" s="47" t="s">
        <v>217</v>
      </c>
      <c r="I31" s="217"/>
    </row>
    <row r="32" spans="1:9" s="57" customFormat="1" ht="13.15" outlineLevel="1" x14ac:dyDescent="0.4">
      <c r="B32" s="47" t="s">
        <v>218</v>
      </c>
      <c r="I32" s="217"/>
    </row>
    <row r="33" spans="1:9" ht="13.15" outlineLevel="1" thickBot="1" x14ac:dyDescent="0.4">
      <c r="B33" s="15"/>
      <c r="C33" s="16"/>
      <c r="D33" s="16"/>
      <c r="E33" s="16"/>
      <c r="F33" s="16"/>
      <c r="G33" s="16"/>
      <c r="H33" s="16"/>
      <c r="I33" s="17"/>
    </row>
    <row r="36" spans="1:9" x14ac:dyDescent="0.35">
      <c r="A36" s="252" t="s">
        <v>703</v>
      </c>
    </row>
  </sheetData>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D9A53E-50E3-4A05-8F31-D492B2E08762}">
  <sheetPr codeName="Sheet7"/>
  <dimension ref="A1:J75"/>
  <sheetViews>
    <sheetView showGridLines="0" zoomScale="77" zoomScaleNormal="90" workbookViewId="0"/>
  </sheetViews>
  <sheetFormatPr defaultColWidth="8.86328125" defaultRowHeight="12.75" outlineLevelRow="1" x14ac:dyDescent="0.35"/>
  <cols>
    <col min="1" max="1" width="16.86328125" style="3" bestFit="1" customWidth="1"/>
    <col min="2" max="2" width="25.796875" style="3" customWidth="1"/>
    <col min="3" max="3" width="20.796875" style="3" customWidth="1"/>
    <col min="4" max="8" width="8.86328125" style="3"/>
    <col min="9" max="10" width="15.796875" style="3" customWidth="1"/>
    <col min="11" max="16384" width="8.86328125" style="3"/>
  </cols>
  <sheetData>
    <row r="1" spans="1:10" s="41" customFormat="1" ht="13.9" x14ac:dyDescent="0.4">
      <c r="A1" s="1" t="s">
        <v>263</v>
      </c>
      <c r="B1" s="1"/>
      <c r="C1" s="1"/>
      <c r="D1" s="1"/>
    </row>
    <row r="2" spans="1:10" x14ac:dyDescent="0.35">
      <c r="E2" s="279" t="s">
        <v>751</v>
      </c>
    </row>
    <row r="3" spans="1:10" ht="13.15" x14ac:dyDescent="0.4">
      <c r="E3" s="57" t="s">
        <v>752</v>
      </c>
      <c r="F3" s="279"/>
    </row>
    <row r="4" spans="1:10" x14ac:dyDescent="0.35">
      <c r="B4" s="279"/>
    </row>
    <row r="5" spans="1:10" x14ac:dyDescent="0.35">
      <c r="B5" s="279"/>
    </row>
    <row r="6" spans="1:10" ht="13.15" x14ac:dyDescent="0.4">
      <c r="A6" s="4" t="s">
        <v>264</v>
      </c>
      <c r="B6" s="4" t="s">
        <v>265</v>
      </c>
      <c r="C6" s="4" t="s">
        <v>266</v>
      </c>
      <c r="E6" s="279"/>
      <c r="I6" s="291" t="s">
        <v>266</v>
      </c>
      <c r="J6" s="291" t="s">
        <v>747</v>
      </c>
    </row>
    <row r="7" spans="1:10" x14ac:dyDescent="0.35">
      <c r="A7" s="63" t="s">
        <v>268</v>
      </c>
      <c r="B7" s="63" t="s">
        <v>743</v>
      </c>
      <c r="C7" s="63" t="s">
        <v>270</v>
      </c>
      <c r="I7" s="63" t="str" cm="1">
        <f t="array" ref="I7:I17">_xlfn.UNIQUE(Employee_Data[Designation])</f>
        <v>Associate</v>
      </c>
      <c r="J7" s="63" cm="1">
        <f t="array" ref="J7:J17">COUNTIFS(Employee_Data[Designation],_xlfn.ANCHORARRAY(I7))</f>
        <v>13</v>
      </c>
    </row>
    <row r="8" spans="1:10" x14ac:dyDescent="0.35">
      <c r="A8" s="63" t="s">
        <v>272</v>
      </c>
      <c r="B8" s="63" t="s">
        <v>273</v>
      </c>
      <c r="C8" s="63" t="s">
        <v>274</v>
      </c>
      <c r="I8" s="63" t="str">
        <v>Intern</v>
      </c>
      <c r="J8" s="63">
        <v>3</v>
      </c>
    </row>
    <row r="9" spans="1:10" x14ac:dyDescent="0.35">
      <c r="A9" s="63" t="s">
        <v>276</v>
      </c>
      <c r="B9" s="63" t="s">
        <v>277</v>
      </c>
      <c r="C9" s="63" t="s">
        <v>278</v>
      </c>
      <c r="I9" s="63" t="str">
        <v>Manager</v>
      </c>
      <c r="J9" s="63">
        <v>10</v>
      </c>
    </row>
    <row r="10" spans="1:10" ht="14.25" x14ac:dyDescent="0.45">
      <c r="A10" s="63" t="s">
        <v>279</v>
      </c>
      <c r="B10" s="63" t="s">
        <v>753</v>
      </c>
      <c r="C10" s="63" t="s">
        <v>280</v>
      </c>
      <c r="F10" s="242"/>
      <c r="I10" s="63" t="str">
        <v>Partner</v>
      </c>
      <c r="J10" s="63">
        <v>2</v>
      </c>
    </row>
    <row r="11" spans="1:10" x14ac:dyDescent="0.35">
      <c r="A11" s="63" t="s">
        <v>281</v>
      </c>
      <c r="B11" s="63" t="s">
        <v>754</v>
      </c>
      <c r="C11" s="63" t="s">
        <v>282</v>
      </c>
      <c r="I11" s="63" t="str">
        <v>Director</v>
      </c>
      <c r="J11" s="63">
        <v>2</v>
      </c>
    </row>
    <row r="12" spans="1:10" x14ac:dyDescent="0.35">
      <c r="A12" s="63" t="s">
        <v>283</v>
      </c>
      <c r="B12" s="63" t="s">
        <v>755</v>
      </c>
      <c r="C12" s="63" t="s">
        <v>284</v>
      </c>
      <c r="I12" s="63" t="str">
        <v>Assistant Vice President</v>
      </c>
      <c r="J12" s="63">
        <v>9</v>
      </c>
    </row>
    <row r="13" spans="1:10" x14ac:dyDescent="0.35">
      <c r="A13" s="63" t="s">
        <v>285</v>
      </c>
      <c r="B13" s="63" t="s">
        <v>756</v>
      </c>
      <c r="C13" s="63" t="s">
        <v>278</v>
      </c>
      <c r="F13" s="279"/>
      <c r="I13" s="63" t="str">
        <v>Vice President</v>
      </c>
      <c r="J13" s="63">
        <v>5</v>
      </c>
    </row>
    <row r="14" spans="1:10" x14ac:dyDescent="0.35">
      <c r="A14" s="63" t="s">
        <v>286</v>
      </c>
      <c r="B14" s="63" t="s">
        <v>757</v>
      </c>
      <c r="C14" s="63" t="s">
        <v>270</v>
      </c>
      <c r="I14" s="63" t="str">
        <v>Associate Director</v>
      </c>
      <c r="J14" s="63">
        <v>4</v>
      </c>
    </row>
    <row r="15" spans="1:10" x14ac:dyDescent="0.35">
      <c r="A15" s="63" t="s">
        <v>287</v>
      </c>
      <c r="B15" s="63" t="s">
        <v>758</v>
      </c>
      <c r="C15" s="63" t="s">
        <v>288</v>
      </c>
      <c r="I15" s="63" t="str">
        <v>Analyst</v>
      </c>
      <c r="J15" s="63">
        <v>2</v>
      </c>
    </row>
    <row r="16" spans="1:10" x14ac:dyDescent="0.35">
      <c r="A16" s="63" t="s">
        <v>289</v>
      </c>
      <c r="B16" s="63" t="s">
        <v>759</v>
      </c>
      <c r="C16" s="63" t="s">
        <v>270</v>
      </c>
      <c r="I16" s="63" t="str">
        <v>Excel Consultant</v>
      </c>
      <c r="J16" s="63">
        <v>1</v>
      </c>
    </row>
    <row r="17" spans="1:10" x14ac:dyDescent="0.35">
      <c r="A17" s="63" t="s">
        <v>290</v>
      </c>
      <c r="B17" s="63" t="s">
        <v>760</v>
      </c>
      <c r="C17" s="63" t="s">
        <v>270</v>
      </c>
      <c r="I17" s="63" t="str">
        <v>Chief Scientist</v>
      </c>
      <c r="J17" s="63">
        <v>1</v>
      </c>
    </row>
    <row r="18" spans="1:10" x14ac:dyDescent="0.35">
      <c r="A18" s="63" t="s">
        <v>291</v>
      </c>
      <c r="B18" s="63" t="s">
        <v>761</v>
      </c>
      <c r="C18" s="63" t="s">
        <v>282</v>
      </c>
    </row>
    <row r="19" spans="1:10" x14ac:dyDescent="0.35">
      <c r="A19" s="63" t="s">
        <v>292</v>
      </c>
      <c r="B19" s="63" t="s">
        <v>762</v>
      </c>
      <c r="C19" s="63" t="s">
        <v>293</v>
      </c>
    </row>
    <row r="20" spans="1:10" x14ac:dyDescent="0.35">
      <c r="A20" s="63" t="s">
        <v>294</v>
      </c>
      <c r="B20" s="63" t="s">
        <v>763</v>
      </c>
      <c r="C20" s="63" t="s">
        <v>270</v>
      </c>
    </row>
    <row r="21" spans="1:10" x14ac:dyDescent="0.35">
      <c r="A21" s="63" t="s">
        <v>295</v>
      </c>
      <c r="B21" s="63" t="s">
        <v>764</v>
      </c>
      <c r="C21" s="63" t="s">
        <v>288</v>
      </c>
    </row>
    <row r="22" spans="1:10" x14ac:dyDescent="0.35">
      <c r="A22" s="63" t="s">
        <v>296</v>
      </c>
      <c r="B22" s="63" t="s">
        <v>765</v>
      </c>
      <c r="C22" s="63" t="s">
        <v>284</v>
      </c>
    </row>
    <row r="23" spans="1:10" x14ac:dyDescent="0.35">
      <c r="A23" s="63" t="s">
        <v>297</v>
      </c>
      <c r="B23" s="63" t="s">
        <v>766</v>
      </c>
      <c r="C23" s="63" t="s">
        <v>284</v>
      </c>
    </row>
    <row r="24" spans="1:10" x14ac:dyDescent="0.35">
      <c r="A24" s="63" t="s">
        <v>298</v>
      </c>
      <c r="B24" s="63" t="s">
        <v>767</v>
      </c>
      <c r="C24" s="63" t="s">
        <v>278</v>
      </c>
    </row>
    <row r="25" spans="1:10" x14ac:dyDescent="0.35">
      <c r="A25" s="63" t="s">
        <v>299</v>
      </c>
      <c r="B25" s="63" t="s">
        <v>768</v>
      </c>
      <c r="C25" s="63" t="s">
        <v>278</v>
      </c>
    </row>
    <row r="26" spans="1:10" x14ac:dyDescent="0.35">
      <c r="A26" s="63" t="s">
        <v>300</v>
      </c>
      <c r="B26" s="63" t="s">
        <v>769</v>
      </c>
      <c r="C26" s="63" t="s">
        <v>278</v>
      </c>
    </row>
    <row r="27" spans="1:10" x14ac:dyDescent="0.35">
      <c r="A27" s="63" t="s">
        <v>301</v>
      </c>
      <c r="B27" s="63" t="s">
        <v>770</v>
      </c>
      <c r="C27" s="63" t="s">
        <v>284</v>
      </c>
    </row>
    <row r="28" spans="1:10" x14ac:dyDescent="0.35">
      <c r="A28" s="63" t="s">
        <v>302</v>
      </c>
      <c r="B28" s="63" t="s">
        <v>771</v>
      </c>
      <c r="C28" s="63" t="s">
        <v>270</v>
      </c>
    </row>
    <row r="29" spans="1:10" x14ac:dyDescent="0.35">
      <c r="A29" s="63" t="s">
        <v>303</v>
      </c>
      <c r="B29" s="63" t="s">
        <v>772</v>
      </c>
      <c r="C29" s="63" t="s">
        <v>284</v>
      </c>
    </row>
    <row r="30" spans="1:10" x14ac:dyDescent="0.35">
      <c r="A30" s="63" t="s">
        <v>304</v>
      </c>
      <c r="B30" s="63" t="s">
        <v>773</v>
      </c>
      <c r="C30" s="63" t="s">
        <v>288</v>
      </c>
    </row>
    <row r="31" spans="1:10" x14ac:dyDescent="0.35">
      <c r="A31" s="63" t="s">
        <v>305</v>
      </c>
      <c r="B31" s="63" t="s">
        <v>774</v>
      </c>
      <c r="C31" s="63" t="s">
        <v>270</v>
      </c>
    </row>
    <row r="32" spans="1:10" x14ac:dyDescent="0.35">
      <c r="A32" s="63" t="s">
        <v>306</v>
      </c>
      <c r="B32" s="63" t="s">
        <v>775</v>
      </c>
      <c r="C32" s="63" t="s">
        <v>270</v>
      </c>
    </row>
    <row r="33" spans="1:3" x14ac:dyDescent="0.35">
      <c r="A33" s="63" t="s">
        <v>307</v>
      </c>
      <c r="B33" s="63" t="s">
        <v>776</v>
      </c>
      <c r="C33" s="63" t="s">
        <v>270</v>
      </c>
    </row>
    <row r="34" spans="1:3" x14ac:dyDescent="0.35">
      <c r="A34" s="63" t="s">
        <v>308</v>
      </c>
      <c r="B34" s="63" t="s">
        <v>777</v>
      </c>
      <c r="C34" s="63" t="s">
        <v>288</v>
      </c>
    </row>
    <row r="35" spans="1:3" x14ac:dyDescent="0.35">
      <c r="A35" s="63" t="s">
        <v>309</v>
      </c>
      <c r="B35" s="63" t="s">
        <v>778</v>
      </c>
      <c r="C35" s="63" t="s">
        <v>284</v>
      </c>
    </row>
    <row r="36" spans="1:3" x14ac:dyDescent="0.35">
      <c r="A36" s="63" t="s">
        <v>310</v>
      </c>
      <c r="B36" s="63" t="s">
        <v>779</v>
      </c>
      <c r="C36" s="63" t="s">
        <v>284</v>
      </c>
    </row>
    <row r="37" spans="1:3" x14ac:dyDescent="0.35">
      <c r="A37" s="63" t="s">
        <v>311</v>
      </c>
      <c r="B37" s="63" t="s">
        <v>780</v>
      </c>
      <c r="C37" s="63" t="s">
        <v>312</v>
      </c>
    </row>
    <row r="38" spans="1:3" x14ac:dyDescent="0.35">
      <c r="A38" s="63" t="s">
        <v>313</v>
      </c>
      <c r="B38" s="63" t="s">
        <v>781</v>
      </c>
      <c r="C38" s="63" t="s">
        <v>288</v>
      </c>
    </row>
    <row r="39" spans="1:3" x14ac:dyDescent="0.35">
      <c r="A39" s="63" t="s">
        <v>314</v>
      </c>
      <c r="B39" s="63" t="s">
        <v>782</v>
      </c>
      <c r="C39" s="63" t="s">
        <v>274</v>
      </c>
    </row>
    <row r="40" spans="1:3" x14ac:dyDescent="0.35">
      <c r="A40" s="63" t="s">
        <v>315</v>
      </c>
      <c r="B40" s="63" t="s">
        <v>783</v>
      </c>
      <c r="C40" s="63" t="s">
        <v>278</v>
      </c>
    </row>
    <row r="41" spans="1:3" x14ac:dyDescent="0.35">
      <c r="A41" s="63" t="s">
        <v>316</v>
      </c>
      <c r="B41" s="63" t="s">
        <v>784</v>
      </c>
      <c r="C41" s="63" t="s">
        <v>278</v>
      </c>
    </row>
    <row r="42" spans="1:3" x14ac:dyDescent="0.35">
      <c r="A42" s="63" t="s">
        <v>317</v>
      </c>
      <c r="B42" s="63" t="s">
        <v>785</v>
      </c>
      <c r="C42" s="63" t="s">
        <v>293</v>
      </c>
    </row>
    <row r="43" spans="1:3" x14ac:dyDescent="0.35">
      <c r="A43" s="63" t="s">
        <v>318</v>
      </c>
      <c r="B43" s="63" t="s">
        <v>786</v>
      </c>
      <c r="C43" s="63" t="s">
        <v>270</v>
      </c>
    </row>
    <row r="44" spans="1:3" x14ac:dyDescent="0.35">
      <c r="A44" s="63" t="s">
        <v>319</v>
      </c>
      <c r="B44" s="63" t="s">
        <v>787</v>
      </c>
      <c r="C44" s="63" t="s">
        <v>312</v>
      </c>
    </row>
    <row r="45" spans="1:3" x14ac:dyDescent="0.35">
      <c r="A45" s="63" t="s">
        <v>320</v>
      </c>
      <c r="B45" s="63" t="s">
        <v>788</v>
      </c>
      <c r="C45" s="63" t="s">
        <v>293</v>
      </c>
    </row>
    <row r="46" spans="1:3" x14ac:dyDescent="0.35">
      <c r="A46" s="63" t="s">
        <v>321</v>
      </c>
      <c r="B46" s="63" t="s">
        <v>789</v>
      </c>
      <c r="C46" s="63" t="s">
        <v>284</v>
      </c>
    </row>
    <row r="47" spans="1:3" x14ac:dyDescent="0.35">
      <c r="A47" s="63" t="s">
        <v>322</v>
      </c>
      <c r="B47" s="63" t="s">
        <v>790</v>
      </c>
      <c r="C47" s="63" t="s">
        <v>278</v>
      </c>
    </row>
    <row r="48" spans="1:3" x14ac:dyDescent="0.35">
      <c r="A48" s="63" t="s">
        <v>323</v>
      </c>
      <c r="B48" s="63" t="s">
        <v>791</v>
      </c>
      <c r="C48" s="63" t="s">
        <v>270</v>
      </c>
    </row>
    <row r="49" spans="1:6" x14ac:dyDescent="0.35">
      <c r="A49" s="63" t="s">
        <v>324</v>
      </c>
      <c r="B49" s="63" t="s">
        <v>792</v>
      </c>
      <c r="C49" s="63" t="s">
        <v>278</v>
      </c>
    </row>
    <row r="50" spans="1:6" x14ac:dyDescent="0.35">
      <c r="A50" s="63" t="s">
        <v>325</v>
      </c>
      <c r="B50" s="63" t="s">
        <v>793</v>
      </c>
      <c r="C50" s="63" t="s">
        <v>293</v>
      </c>
    </row>
    <row r="51" spans="1:6" x14ac:dyDescent="0.35">
      <c r="A51" s="63" t="s">
        <v>326</v>
      </c>
      <c r="B51" s="63" t="s">
        <v>794</v>
      </c>
      <c r="C51" s="63" t="s">
        <v>270</v>
      </c>
    </row>
    <row r="52" spans="1:6" x14ac:dyDescent="0.35">
      <c r="A52" s="63" t="s">
        <v>327</v>
      </c>
      <c r="B52" s="63" t="s">
        <v>795</v>
      </c>
      <c r="C52" s="63" t="s">
        <v>278</v>
      </c>
    </row>
    <row r="53" spans="1:6" x14ac:dyDescent="0.35">
      <c r="A53" s="63" t="s">
        <v>328</v>
      </c>
      <c r="B53" s="63" t="s">
        <v>796</v>
      </c>
      <c r="C53" s="63" t="s">
        <v>274</v>
      </c>
    </row>
    <row r="54" spans="1:6" x14ac:dyDescent="0.35">
      <c r="A54" s="63" t="s">
        <v>329</v>
      </c>
      <c r="B54" s="63" t="s">
        <v>797</v>
      </c>
      <c r="C54" s="63" t="s">
        <v>280</v>
      </c>
    </row>
    <row r="55" spans="1:6" x14ac:dyDescent="0.35">
      <c r="A55" s="63" t="s">
        <v>330</v>
      </c>
      <c r="B55" s="63" t="s">
        <v>798</v>
      </c>
      <c r="C55" s="63" t="s">
        <v>284</v>
      </c>
    </row>
    <row r="56" spans="1:6" x14ac:dyDescent="0.35">
      <c r="A56" s="290" t="s">
        <v>331</v>
      </c>
      <c r="B56" s="290" t="s">
        <v>799</v>
      </c>
      <c r="C56" s="290" t="s">
        <v>270</v>
      </c>
    </row>
    <row r="57" spans="1:6" x14ac:dyDescent="0.35">
      <c r="A57" s="292" t="s">
        <v>628</v>
      </c>
      <c r="B57" s="290" t="s">
        <v>800</v>
      </c>
      <c r="C57" s="292" t="s">
        <v>748</v>
      </c>
    </row>
    <row r="58" spans="1:6" x14ac:dyDescent="0.35">
      <c r="A58" s="292" t="s">
        <v>749</v>
      </c>
      <c r="B58" s="290" t="s">
        <v>801</v>
      </c>
      <c r="C58" s="292" t="s">
        <v>750</v>
      </c>
    </row>
    <row r="62" spans="1:6" ht="13.15" thickBot="1" x14ac:dyDescent="0.4"/>
    <row r="63" spans="1:6" ht="13.5" thickBot="1" x14ac:dyDescent="0.45">
      <c r="B63" s="10" t="s">
        <v>10</v>
      </c>
      <c r="C63" s="11"/>
      <c r="D63" s="11"/>
      <c r="E63" s="11"/>
      <c r="F63" s="12"/>
    </row>
    <row r="64" spans="1:6" outlineLevel="1" x14ac:dyDescent="0.35">
      <c r="B64" s="13"/>
      <c r="F64" s="14"/>
    </row>
    <row r="65" spans="2:6" s="57" customFormat="1" ht="13.15" outlineLevel="1" x14ac:dyDescent="0.4">
      <c r="B65" s="47" t="s">
        <v>332</v>
      </c>
      <c r="F65" s="217"/>
    </row>
    <row r="66" spans="2:6" s="57" customFormat="1" ht="13.15" outlineLevel="1" x14ac:dyDescent="0.4">
      <c r="B66" s="47" t="s">
        <v>333</v>
      </c>
      <c r="F66" s="217"/>
    </row>
    <row r="67" spans="2:6" s="57" customFormat="1" ht="13.15" outlineLevel="1" x14ac:dyDescent="0.4">
      <c r="B67" s="47" t="s">
        <v>334</v>
      </c>
      <c r="F67" s="217"/>
    </row>
    <row r="68" spans="2:6" s="57" customFormat="1" ht="13.15" outlineLevel="1" x14ac:dyDescent="0.4">
      <c r="B68" s="47" t="s">
        <v>335</v>
      </c>
      <c r="F68" s="217"/>
    </row>
    <row r="69" spans="2:6" s="57" customFormat="1" ht="13.15" outlineLevel="1" x14ac:dyDescent="0.4">
      <c r="B69" s="47" t="s">
        <v>336</v>
      </c>
      <c r="F69" s="217"/>
    </row>
    <row r="70" spans="2:6" outlineLevel="1" x14ac:dyDescent="0.35">
      <c r="B70" s="13" t="s">
        <v>337</v>
      </c>
      <c r="F70" s="14"/>
    </row>
    <row r="71" spans="2:6" outlineLevel="1" x14ac:dyDescent="0.35">
      <c r="B71" s="13" t="s">
        <v>338</v>
      </c>
      <c r="F71" s="14"/>
    </row>
    <row r="72" spans="2:6" ht="13.15" outlineLevel="1" x14ac:dyDescent="0.4">
      <c r="B72" s="47" t="s">
        <v>339</v>
      </c>
      <c r="F72" s="14"/>
    </row>
    <row r="73" spans="2:6" ht="13.15" outlineLevel="1" x14ac:dyDescent="0.4">
      <c r="B73" s="47" t="s">
        <v>340</v>
      </c>
      <c r="F73" s="14"/>
    </row>
    <row r="74" spans="2:6" s="57" customFormat="1" ht="13.15" outlineLevel="1" x14ac:dyDescent="0.4">
      <c r="B74" s="47" t="s">
        <v>341</v>
      </c>
      <c r="F74" s="217"/>
    </row>
    <row r="75" spans="2:6" ht="13.15" outlineLevel="1" thickBot="1" x14ac:dyDescent="0.4">
      <c r="B75" s="15"/>
      <c r="C75" s="16"/>
      <c r="D75" s="16"/>
      <c r="E75" s="16"/>
      <c r="F75" s="17"/>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3A781-9C57-44E8-B0C6-270043E8567B}">
  <dimension ref="A1:E6"/>
  <sheetViews>
    <sheetView workbookViewId="0"/>
  </sheetViews>
  <sheetFormatPr defaultRowHeight="14.25" x14ac:dyDescent="0.45"/>
  <sheetData>
    <row r="1" spans="1:5" x14ac:dyDescent="0.45">
      <c r="A1" s="302" t="s">
        <v>818</v>
      </c>
    </row>
    <row r="3" spans="1:5" x14ac:dyDescent="0.45">
      <c r="A3" t="s">
        <v>264</v>
      </c>
      <c r="B3" t="s">
        <v>265</v>
      </c>
      <c r="C3" t="s">
        <v>266</v>
      </c>
      <c r="D3" t="s">
        <v>267</v>
      </c>
      <c r="E3" t="s">
        <v>816</v>
      </c>
    </row>
    <row r="4" spans="1:5" x14ac:dyDescent="0.45">
      <c r="A4" t="s">
        <v>328</v>
      </c>
      <c r="C4" t="s">
        <v>274</v>
      </c>
      <c r="D4" t="s">
        <v>275</v>
      </c>
      <c r="E4">
        <v>1759</v>
      </c>
    </row>
    <row r="5" spans="1:5" x14ac:dyDescent="0.45">
      <c r="A5" t="s">
        <v>272</v>
      </c>
      <c r="B5" t="s">
        <v>273</v>
      </c>
      <c r="C5" t="s">
        <v>274</v>
      </c>
      <c r="D5" t="s">
        <v>275</v>
      </c>
      <c r="E5">
        <v>2801</v>
      </c>
    </row>
    <row r="6" spans="1:5" x14ac:dyDescent="0.45">
      <c r="A6" t="s">
        <v>314</v>
      </c>
      <c r="C6" t="s">
        <v>274</v>
      </c>
      <c r="D6" t="s">
        <v>235</v>
      </c>
      <c r="E6">
        <v>8387</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31425-9AE7-4B27-B215-93C9CE1FBFF0}">
  <dimension ref="A1:E5"/>
  <sheetViews>
    <sheetView workbookViewId="0"/>
  </sheetViews>
  <sheetFormatPr defaultRowHeight="14.25" x14ac:dyDescent="0.45"/>
  <sheetData>
    <row r="1" spans="1:5" x14ac:dyDescent="0.45">
      <c r="A1" s="302" t="s">
        <v>819</v>
      </c>
    </row>
    <row r="3" spans="1:5" x14ac:dyDescent="0.45">
      <c r="A3" t="s">
        <v>264</v>
      </c>
      <c r="B3" t="s">
        <v>265</v>
      </c>
      <c r="C3" t="s">
        <v>266</v>
      </c>
      <c r="D3" t="s">
        <v>267</v>
      </c>
      <c r="E3" t="s">
        <v>816</v>
      </c>
    </row>
    <row r="4" spans="1:5" x14ac:dyDescent="0.45">
      <c r="A4" t="s">
        <v>319</v>
      </c>
      <c r="C4" t="s">
        <v>312</v>
      </c>
      <c r="D4" t="s">
        <v>275</v>
      </c>
      <c r="E4">
        <v>48925</v>
      </c>
    </row>
    <row r="5" spans="1:5" x14ac:dyDescent="0.45">
      <c r="A5" t="s">
        <v>311</v>
      </c>
      <c r="C5" t="s">
        <v>312</v>
      </c>
      <c r="D5" t="s">
        <v>271</v>
      </c>
      <c r="E5">
        <v>27031</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481A9-CA25-4B1E-8E1F-E820CC9416A1}">
  <dimension ref="A3:E14"/>
  <sheetViews>
    <sheetView workbookViewId="0"/>
  </sheetViews>
  <sheetFormatPr defaultRowHeight="14.25" x14ac:dyDescent="0.45"/>
  <cols>
    <col min="1" max="1" width="20.53125" bestFit="1" customWidth="1"/>
    <col min="2" max="2" width="15.6640625" bestFit="1" customWidth="1"/>
    <col min="3" max="3" width="12.86328125" bestFit="1" customWidth="1"/>
    <col min="4" max="4" width="16.33203125" bestFit="1" customWidth="1"/>
    <col min="5" max="5" width="10.796875" bestFit="1" customWidth="1"/>
  </cols>
  <sheetData>
    <row r="3" spans="1:5" x14ac:dyDescent="0.45">
      <c r="A3" s="297" t="s">
        <v>817</v>
      </c>
      <c r="B3" s="297" t="s">
        <v>813</v>
      </c>
    </row>
    <row r="4" spans="1:5" x14ac:dyDescent="0.45">
      <c r="A4" s="297" t="s">
        <v>815</v>
      </c>
      <c r="B4" t="s">
        <v>275</v>
      </c>
      <c r="C4" t="s">
        <v>235</v>
      </c>
      <c r="D4" t="s">
        <v>271</v>
      </c>
      <c r="E4" t="s">
        <v>814</v>
      </c>
    </row>
    <row r="5" spans="1:5" x14ac:dyDescent="0.45">
      <c r="A5" s="298" t="s">
        <v>284</v>
      </c>
      <c r="B5" s="303">
        <v>8.6795965066704769E-2</v>
      </c>
      <c r="C5" s="303">
        <v>8.5473140791070198E-2</v>
      </c>
      <c r="D5" s="303">
        <v>7.9637537820096638E-2</v>
      </c>
      <c r="E5" s="303">
        <v>0.25190664367787163</v>
      </c>
    </row>
    <row r="6" spans="1:5" x14ac:dyDescent="0.45">
      <c r="A6" s="298" t="s">
        <v>288</v>
      </c>
      <c r="B6" s="303">
        <v>0.10631962987941247</v>
      </c>
      <c r="C6" s="303">
        <v>3.3085042748646543E-2</v>
      </c>
      <c r="D6" s="303">
        <v>4.1035036196988013E-2</v>
      </c>
      <c r="E6" s="303">
        <v>0.18043970882504703</v>
      </c>
    </row>
    <row r="7" spans="1:5" x14ac:dyDescent="0.45">
      <c r="A7" s="298" t="s">
        <v>280</v>
      </c>
      <c r="B7" s="303">
        <v>0</v>
      </c>
      <c r="C7" s="303">
        <v>7.8047650175488203E-2</v>
      </c>
      <c r="D7" s="303">
        <v>7.9180587398754665E-2</v>
      </c>
      <c r="E7" s="303">
        <v>0.15722823757424287</v>
      </c>
    </row>
    <row r="8" spans="1:5" x14ac:dyDescent="0.45">
      <c r="A8" s="298" t="s">
        <v>293</v>
      </c>
      <c r="B8" s="303">
        <v>0.10549095612017445</v>
      </c>
      <c r="C8" s="303">
        <v>0</v>
      </c>
      <c r="D8" s="303">
        <v>3.6938491401040711E-2</v>
      </c>
      <c r="E8" s="303">
        <v>0.14242944752121517</v>
      </c>
    </row>
    <row r="9" spans="1:5" x14ac:dyDescent="0.45">
      <c r="A9" s="298" t="s">
        <v>278</v>
      </c>
      <c r="B9" s="303">
        <v>4.7945092659699449E-2</v>
      </c>
      <c r="C9" s="303">
        <v>4.9923823088933027E-2</v>
      </c>
      <c r="D9" s="303">
        <v>3.4160791766082839E-2</v>
      </c>
      <c r="E9" s="303">
        <v>0.13202970751471532</v>
      </c>
    </row>
    <row r="10" spans="1:5" x14ac:dyDescent="0.45">
      <c r="A10" s="298" t="s">
        <v>282</v>
      </c>
      <c r="B10" s="303">
        <v>7.6831521694873339E-2</v>
      </c>
      <c r="C10" s="303">
        <v>0</v>
      </c>
      <c r="D10" s="303">
        <v>0</v>
      </c>
      <c r="E10" s="303">
        <v>7.6831521694873339E-2</v>
      </c>
    </row>
    <row r="11" spans="1:5" x14ac:dyDescent="0.45">
      <c r="A11" s="301" t="s">
        <v>270</v>
      </c>
      <c r="B11" s="304">
        <v>2.2773861177388562E-2</v>
      </c>
      <c r="C11" s="304">
        <v>9.9510254270978073E-3</v>
      </c>
      <c r="D11" s="304">
        <v>1.5406854293335149E-2</v>
      </c>
      <c r="E11" s="304">
        <v>4.8131740897821518E-2</v>
      </c>
    </row>
    <row r="12" spans="1:5" x14ac:dyDescent="0.45">
      <c r="A12" s="298" t="s">
        <v>312</v>
      </c>
      <c r="B12" s="303">
        <v>4.5273996282211397E-3</v>
      </c>
      <c r="C12" s="303">
        <v>0</v>
      </c>
      <c r="D12" s="303">
        <v>2.5013825109953115E-3</v>
      </c>
      <c r="E12" s="303">
        <v>7.0287821392164516E-3</v>
      </c>
    </row>
    <row r="13" spans="1:5" x14ac:dyDescent="0.45">
      <c r="A13" s="301" t="s">
        <v>274</v>
      </c>
      <c r="B13" s="304">
        <v>2.2727222252245517E-3</v>
      </c>
      <c r="C13" s="304">
        <v>1.701487929772143E-3</v>
      </c>
      <c r="D13" s="304">
        <v>0</v>
      </c>
      <c r="E13" s="304">
        <v>3.9742101549966949E-3</v>
      </c>
    </row>
    <row r="14" spans="1:5" x14ac:dyDescent="0.45">
      <c r="A14" s="298" t="s">
        <v>814</v>
      </c>
      <c r="B14" s="303">
        <v>0.45295714845169871</v>
      </c>
      <c r="C14" s="303">
        <v>0.25818217016100792</v>
      </c>
      <c r="D14" s="303">
        <v>0.28886068138729332</v>
      </c>
      <c r="E14" s="303">
        <v>1</v>
      </c>
    </row>
  </sheetData>
  <conditionalFormatting pivot="1" sqref="B5:E14">
    <cfRule type="dataBar" priority="2">
      <dataBar>
        <cfvo type="min"/>
        <cfvo type="max"/>
        <color rgb="FF638EC6"/>
      </dataBar>
      <extLst>
        <ext xmlns:x14="http://schemas.microsoft.com/office/spreadsheetml/2009/9/main" uri="{B025F937-C7B1-47D3-B67F-A62EFF666E3E}">
          <x14:id>{48228113-4951-40FE-BFD4-9739EC07EA37}</x14:id>
        </ext>
      </extLst>
    </cfRule>
  </conditionalFormatting>
  <conditionalFormatting pivot="1" sqref="B5:E14">
    <cfRule type="colorScale" priority="1">
      <colorScale>
        <cfvo type="min"/>
        <cfvo type="percentile" val="50"/>
        <cfvo type="max"/>
        <color rgb="FFF8696B"/>
        <color rgb="FFFFEB84"/>
        <color rgb="FF63BE7B"/>
      </colorScale>
    </cfRule>
  </conditionalFormatting>
  <pageMargins left="0.7" right="0.7" top="0.75" bottom="0.75" header="0.3" footer="0.3"/>
  <extLst>
    <ext xmlns:x14="http://schemas.microsoft.com/office/spreadsheetml/2009/9/main" uri="{78C0D931-6437-407d-A8EE-F0AAD7539E65}">
      <x14:conditionalFormattings>
        <x14:conditionalFormatting xmlns:xm="http://schemas.microsoft.com/office/excel/2006/main" pivot="1">
          <x14:cfRule type="dataBar" id="{48228113-4951-40FE-BFD4-9739EC07EA37}">
            <x14:dataBar minLength="0" maxLength="100" gradient="0">
              <x14:cfvo type="autoMin"/>
              <x14:cfvo type="autoMax"/>
              <x14:negativeFillColor rgb="FFFF0000"/>
              <x14:axisColor rgb="FF000000"/>
            </x14:dataBar>
          </x14:cfRule>
          <xm:sqref>B5:E14</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F529B8-1976-4186-88F0-786B1D4E30A9}">
  <dimension ref="A1:BC75"/>
  <sheetViews>
    <sheetView showGridLines="0" zoomScale="90" zoomScaleNormal="90" workbookViewId="0"/>
  </sheetViews>
  <sheetFormatPr defaultColWidth="8.86328125" defaultRowHeight="12.75" outlineLevelRow="1" x14ac:dyDescent="0.35"/>
  <cols>
    <col min="1" max="1" width="16.86328125" style="3" bestFit="1" customWidth="1"/>
    <col min="2" max="2" width="25.796875" style="3" customWidth="1"/>
    <col min="3" max="4" width="20.796875" style="3" customWidth="1"/>
    <col min="5" max="5" width="15.796875" style="3" customWidth="1"/>
    <col min="6" max="7" width="8.86328125" style="3"/>
    <col min="8" max="8" width="20" style="3" bestFit="1" customWidth="1"/>
    <col min="9" max="9" width="24.53125" style="3" bestFit="1" customWidth="1"/>
    <col min="10" max="13" width="22.33203125" style="3" bestFit="1" customWidth="1"/>
    <col min="14" max="15" width="11.19921875" style="3" bestFit="1" customWidth="1"/>
    <col min="16" max="54" width="19.1328125" style="3" bestFit="1" customWidth="1"/>
    <col min="55" max="55" width="11.19921875" style="3" bestFit="1" customWidth="1"/>
    <col min="56" max="16384" width="8.86328125" style="3"/>
  </cols>
  <sheetData>
    <row r="1" spans="1:55" s="41" customFormat="1" ht="13.9" x14ac:dyDescent="0.4">
      <c r="A1" s="1" t="s">
        <v>263</v>
      </c>
      <c r="B1" s="1"/>
      <c r="C1" s="1"/>
      <c r="D1" s="1"/>
      <c r="E1" s="1"/>
    </row>
    <row r="3" spans="1:55" x14ac:dyDescent="0.35">
      <c r="H3" s="293" t="s">
        <v>812</v>
      </c>
    </row>
    <row r="6" spans="1:55" ht="13.15" x14ac:dyDescent="0.4">
      <c r="A6" s="4" t="s">
        <v>264</v>
      </c>
      <c r="B6" s="4" t="s">
        <v>265</v>
      </c>
      <c r="C6" s="4" t="s">
        <v>266</v>
      </c>
      <c r="D6" s="4" t="s">
        <v>267</v>
      </c>
      <c r="E6" s="4" t="s">
        <v>816</v>
      </c>
    </row>
    <row r="7" spans="1:55" x14ac:dyDescent="0.35">
      <c r="A7" s="63" t="s">
        <v>268</v>
      </c>
      <c r="B7" s="63" t="s">
        <v>269</v>
      </c>
      <c r="C7" s="63" t="s">
        <v>270</v>
      </c>
      <c r="D7" s="63" t="s">
        <v>271</v>
      </c>
      <c r="E7" s="299">
        <v>42004</v>
      </c>
    </row>
    <row r="8" spans="1:55" ht="13.15" x14ac:dyDescent="0.4">
      <c r="A8" s="63" t="s">
        <v>272</v>
      </c>
      <c r="B8" s="63" t="s">
        <v>273</v>
      </c>
      <c r="C8" s="63" t="s">
        <v>274</v>
      </c>
      <c r="D8" s="63" t="s">
        <v>275</v>
      </c>
      <c r="E8" s="299">
        <v>12801</v>
      </c>
      <c r="H8" s="305"/>
      <c r="I8" s="57"/>
    </row>
    <row r="9" spans="1:55" ht="13.15" x14ac:dyDescent="0.4">
      <c r="A9" s="63" t="s">
        <v>276</v>
      </c>
      <c r="B9" s="63" t="s">
        <v>277</v>
      </c>
      <c r="C9" s="63" t="s">
        <v>278</v>
      </c>
      <c r="D9" s="63" t="s">
        <v>275</v>
      </c>
      <c r="E9" s="299">
        <v>96162</v>
      </c>
      <c r="H9" s="57"/>
      <c r="I9" s="57"/>
    </row>
    <row r="10" spans="1:55" ht="14.25" x14ac:dyDescent="0.45">
      <c r="A10" s="63" t="s">
        <v>279</v>
      </c>
      <c r="B10" s="63"/>
      <c r="C10" s="63" t="s">
        <v>280</v>
      </c>
      <c r="D10" s="63" t="s">
        <v>271</v>
      </c>
      <c r="E10" s="299">
        <v>855659</v>
      </c>
      <c r="H10" s="57"/>
      <c r="I10" s="57"/>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row>
    <row r="11" spans="1:55" ht="14.25" x14ac:dyDescent="0.45">
      <c r="A11" s="63" t="s">
        <v>281</v>
      </c>
      <c r="B11" s="63"/>
      <c r="C11" s="63" t="s">
        <v>282</v>
      </c>
      <c r="D11" s="63" t="s">
        <v>275</v>
      </c>
      <c r="E11" s="299">
        <v>427523</v>
      </c>
      <c r="H11" s="57"/>
      <c r="I11" s="57"/>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row>
    <row r="12" spans="1:55" ht="14.25" x14ac:dyDescent="0.45">
      <c r="A12" s="63" t="s">
        <v>283</v>
      </c>
      <c r="B12" s="63"/>
      <c r="C12" s="63" t="s">
        <v>284</v>
      </c>
      <c r="D12" s="63" t="s">
        <v>235</v>
      </c>
      <c r="E12" s="299">
        <v>287746</v>
      </c>
      <c r="H12" s="57"/>
      <c r="I12" s="57"/>
      <c r="J12"/>
      <c r="K12"/>
      <c r="L12"/>
      <c r="M12"/>
      <c r="N12"/>
      <c r="O12"/>
    </row>
    <row r="13" spans="1:55" ht="14.25" x14ac:dyDescent="0.45">
      <c r="A13" s="63" t="s">
        <v>285</v>
      </c>
      <c r="B13" s="63"/>
      <c r="C13" s="63" t="s">
        <v>278</v>
      </c>
      <c r="D13" s="63" t="s">
        <v>235</v>
      </c>
      <c r="E13" s="299">
        <v>134553</v>
      </c>
      <c r="H13" s="57"/>
      <c r="I13" s="57"/>
      <c r="J13"/>
      <c r="K13"/>
      <c r="L13"/>
      <c r="M13"/>
      <c r="N13"/>
      <c r="O13"/>
    </row>
    <row r="14" spans="1:55" ht="14.25" x14ac:dyDescent="0.45">
      <c r="A14" s="63" t="s">
        <v>286</v>
      </c>
      <c r="B14" s="63"/>
      <c r="C14" s="63" t="s">
        <v>270</v>
      </c>
      <c r="D14" s="63" t="s">
        <v>235</v>
      </c>
      <c r="E14" s="299">
        <v>31156</v>
      </c>
      <c r="H14" s="57"/>
      <c r="I14" s="57"/>
      <c r="J14"/>
      <c r="K14"/>
      <c r="L14"/>
      <c r="M14"/>
      <c r="N14"/>
      <c r="O14"/>
    </row>
    <row r="15" spans="1:55" ht="14.25" x14ac:dyDescent="0.45">
      <c r="A15" s="63" t="s">
        <v>287</v>
      </c>
      <c r="B15" s="63"/>
      <c r="C15" s="63" t="s">
        <v>288</v>
      </c>
      <c r="D15" s="63" t="s">
        <v>275</v>
      </c>
      <c r="E15" s="299">
        <v>380915</v>
      </c>
      <c r="H15" s="57"/>
      <c r="I15" s="57"/>
      <c r="J15"/>
      <c r="K15"/>
      <c r="L15"/>
      <c r="M15"/>
      <c r="N15"/>
      <c r="O15"/>
    </row>
    <row r="16" spans="1:55" ht="13.15" x14ac:dyDescent="0.4">
      <c r="A16" s="63" t="s">
        <v>289</v>
      </c>
      <c r="B16" s="63"/>
      <c r="C16" s="63" t="s">
        <v>270</v>
      </c>
      <c r="D16" s="63" t="s">
        <v>235</v>
      </c>
      <c r="E16" s="299">
        <v>45265</v>
      </c>
      <c r="H16" s="57"/>
      <c r="I16" s="57"/>
    </row>
    <row r="17" spans="1:5" x14ac:dyDescent="0.35">
      <c r="A17" s="63" t="s">
        <v>290</v>
      </c>
      <c r="B17" s="63"/>
      <c r="C17" s="63" t="s">
        <v>270</v>
      </c>
      <c r="D17" s="63" t="s">
        <v>235</v>
      </c>
      <c r="E17" s="299">
        <v>31114</v>
      </c>
    </row>
    <row r="18" spans="1:5" x14ac:dyDescent="0.35">
      <c r="A18" s="63" t="s">
        <v>291</v>
      </c>
      <c r="B18" s="63"/>
      <c r="C18" s="63" t="s">
        <v>282</v>
      </c>
      <c r="D18" s="63" t="s">
        <v>275</v>
      </c>
      <c r="E18" s="299">
        <v>402751</v>
      </c>
    </row>
    <row r="19" spans="1:5" x14ac:dyDescent="0.35">
      <c r="A19" s="63" t="s">
        <v>292</v>
      </c>
      <c r="B19" s="63"/>
      <c r="C19" s="63" t="s">
        <v>293</v>
      </c>
      <c r="D19" s="63" t="s">
        <v>275</v>
      </c>
      <c r="E19" s="299">
        <v>368277</v>
      </c>
    </row>
    <row r="20" spans="1:5" x14ac:dyDescent="0.35">
      <c r="A20" s="63" t="s">
        <v>294</v>
      </c>
      <c r="B20" s="63"/>
      <c r="C20" s="63" t="s">
        <v>270</v>
      </c>
      <c r="D20" s="63" t="s">
        <v>275</v>
      </c>
      <c r="E20" s="299">
        <v>47609</v>
      </c>
    </row>
    <row r="21" spans="1:5" x14ac:dyDescent="0.35">
      <c r="A21" s="63" t="s">
        <v>295</v>
      </c>
      <c r="B21" s="63"/>
      <c r="C21" s="63" t="s">
        <v>288</v>
      </c>
      <c r="D21" s="63" t="s">
        <v>271</v>
      </c>
      <c r="E21" s="299">
        <v>443442</v>
      </c>
    </row>
    <row r="22" spans="1:5" x14ac:dyDescent="0.35">
      <c r="A22" s="63" t="s">
        <v>296</v>
      </c>
      <c r="B22" s="63"/>
      <c r="C22" s="63" t="s">
        <v>284</v>
      </c>
      <c r="D22" s="63" t="s">
        <v>275</v>
      </c>
      <c r="E22" s="299">
        <v>301652</v>
      </c>
    </row>
    <row r="23" spans="1:5" x14ac:dyDescent="0.35">
      <c r="A23" s="63" t="s">
        <v>297</v>
      </c>
      <c r="B23" s="63"/>
      <c r="C23" s="63" t="s">
        <v>284</v>
      </c>
      <c r="D23" s="63" t="s">
        <v>235</v>
      </c>
      <c r="E23" s="299">
        <v>346405</v>
      </c>
    </row>
    <row r="24" spans="1:5" x14ac:dyDescent="0.35">
      <c r="A24" s="63" t="s">
        <v>298</v>
      </c>
      <c r="B24" s="63"/>
      <c r="C24" s="63" t="s">
        <v>278</v>
      </c>
      <c r="D24" s="63" t="s">
        <v>235</v>
      </c>
      <c r="E24" s="299">
        <v>168395</v>
      </c>
    </row>
    <row r="25" spans="1:5" x14ac:dyDescent="0.35">
      <c r="A25" s="63" t="s">
        <v>299</v>
      </c>
      <c r="B25" s="63"/>
      <c r="C25" s="63" t="s">
        <v>278</v>
      </c>
      <c r="D25" s="63" t="s">
        <v>271</v>
      </c>
      <c r="E25" s="299">
        <v>179950</v>
      </c>
    </row>
    <row r="26" spans="1:5" x14ac:dyDescent="0.35">
      <c r="A26" s="63" t="s">
        <v>300</v>
      </c>
      <c r="B26" s="63"/>
      <c r="C26" s="63" t="s">
        <v>278</v>
      </c>
      <c r="D26" s="63" t="s">
        <v>275</v>
      </c>
      <c r="E26" s="299">
        <v>96488</v>
      </c>
    </row>
    <row r="27" spans="1:5" x14ac:dyDescent="0.35">
      <c r="A27" s="63" t="s">
        <v>301</v>
      </c>
      <c r="B27" s="63"/>
      <c r="C27" s="63" t="s">
        <v>284</v>
      </c>
      <c r="D27" s="63" t="s">
        <v>271</v>
      </c>
      <c r="E27" s="299">
        <v>332849</v>
      </c>
    </row>
    <row r="28" spans="1:5" x14ac:dyDescent="0.35">
      <c r="A28" s="63" t="s">
        <v>302</v>
      </c>
      <c r="B28" s="63"/>
      <c r="C28" s="63" t="s">
        <v>270</v>
      </c>
      <c r="D28" s="63" t="s">
        <v>275</v>
      </c>
      <c r="E28" s="299">
        <v>30168</v>
      </c>
    </row>
    <row r="29" spans="1:5" x14ac:dyDescent="0.35">
      <c r="A29" s="63" t="s">
        <v>303</v>
      </c>
      <c r="B29" s="63"/>
      <c r="C29" s="63" t="s">
        <v>284</v>
      </c>
      <c r="D29" s="63" t="s">
        <v>271</v>
      </c>
      <c r="E29" s="299">
        <v>251014</v>
      </c>
    </row>
    <row r="30" spans="1:5" x14ac:dyDescent="0.35">
      <c r="A30" s="63" t="s">
        <v>304</v>
      </c>
      <c r="B30" s="63"/>
      <c r="C30" s="63" t="s">
        <v>288</v>
      </c>
      <c r="D30" s="63" t="s">
        <v>275</v>
      </c>
      <c r="E30" s="299">
        <v>358635</v>
      </c>
    </row>
    <row r="31" spans="1:5" x14ac:dyDescent="0.35">
      <c r="A31" s="63" t="s">
        <v>305</v>
      </c>
      <c r="B31" s="63"/>
      <c r="C31" s="63" t="s">
        <v>270</v>
      </c>
      <c r="D31" s="63" t="s">
        <v>271</v>
      </c>
      <c r="E31" s="299">
        <v>39208</v>
      </c>
    </row>
    <row r="32" spans="1:5" x14ac:dyDescent="0.35">
      <c r="A32" s="63" t="s">
        <v>306</v>
      </c>
      <c r="B32" s="63"/>
      <c r="C32" s="63" t="s">
        <v>270</v>
      </c>
      <c r="D32" s="63" t="s">
        <v>271</v>
      </c>
      <c r="E32" s="299">
        <v>38846</v>
      </c>
    </row>
    <row r="33" spans="1:5" x14ac:dyDescent="0.35">
      <c r="A33" s="63" t="s">
        <v>307</v>
      </c>
      <c r="B33" s="63"/>
      <c r="C33" s="63" t="s">
        <v>270</v>
      </c>
      <c r="D33" s="63" t="s">
        <v>275</v>
      </c>
      <c r="E33" s="299">
        <v>42807</v>
      </c>
    </row>
    <row r="34" spans="1:5" x14ac:dyDescent="0.35">
      <c r="A34" s="63" t="s">
        <v>308</v>
      </c>
      <c r="B34" s="63"/>
      <c r="C34" s="63" t="s">
        <v>288</v>
      </c>
      <c r="D34" s="63" t="s">
        <v>275</v>
      </c>
      <c r="E34" s="299">
        <v>409385</v>
      </c>
    </row>
    <row r="35" spans="1:5" x14ac:dyDescent="0.35">
      <c r="A35" s="63" t="s">
        <v>309</v>
      </c>
      <c r="B35" s="63"/>
      <c r="C35" s="63" t="s">
        <v>284</v>
      </c>
      <c r="D35" s="63" t="s">
        <v>271</v>
      </c>
      <c r="E35" s="299">
        <v>276734</v>
      </c>
    </row>
    <row r="36" spans="1:5" x14ac:dyDescent="0.35">
      <c r="A36" s="63" t="s">
        <v>310</v>
      </c>
      <c r="B36" s="63"/>
      <c r="C36" s="63" t="s">
        <v>284</v>
      </c>
      <c r="D36" s="63" t="s">
        <v>235</v>
      </c>
      <c r="E36" s="299">
        <v>289508</v>
      </c>
    </row>
    <row r="37" spans="1:5" x14ac:dyDescent="0.35">
      <c r="A37" s="63" t="s">
        <v>311</v>
      </c>
      <c r="B37" s="63"/>
      <c r="C37" s="63" t="s">
        <v>312</v>
      </c>
      <c r="D37" s="63" t="s">
        <v>271</v>
      </c>
      <c r="E37" s="299">
        <v>27031</v>
      </c>
    </row>
    <row r="38" spans="1:5" x14ac:dyDescent="0.35">
      <c r="A38" s="63" t="s">
        <v>313</v>
      </c>
      <c r="B38" s="63"/>
      <c r="C38" s="63" t="s">
        <v>288</v>
      </c>
      <c r="D38" s="63" t="s">
        <v>235</v>
      </c>
      <c r="E38" s="299">
        <v>357531</v>
      </c>
    </row>
    <row r="39" spans="1:5" x14ac:dyDescent="0.35">
      <c r="A39" s="63" t="s">
        <v>314</v>
      </c>
      <c r="B39" s="63"/>
      <c r="C39" s="63" t="s">
        <v>274</v>
      </c>
      <c r="D39" s="63" t="s">
        <v>235</v>
      </c>
      <c r="E39" s="299">
        <v>18387</v>
      </c>
    </row>
    <row r="40" spans="1:5" x14ac:dyDescent="0.35">
      <c r="A40" s="63" t="s">
        <v>315</v>
      </c>
      <c r="B40" s="63"/>
      <c r="C40" s="63" t="s">
        <v>278</v>
      </c>
      <c r="D40" s="63" t="s">
        <v>235</v>
      </c>
      <c r="E40" s="299">
        <v>158504</v>
      </c>
    </row>
    <row r="41" spans="1:5" x14ac:dyDescent="0.35">
      <c r="A41" s="63" t="s">
        <v>316</v>
      </c>
      <c r="B41" s="63"/>
      <c r="C41" s="63" t="s">
        <v>278</v>
      </c>
      <c r="D41" s="63" t="s">
        <v>235</v>
      </c>
      <c r="E41" s="299">
        <v>78046</v>
      </c>
    </row>
    <row r="42" spans="1:5" x14ac:dyDescent="0.35">
      <c r="A42" s="63" t="s">
        <v>317</v>
      </c>
      <c r="B42" s="63"/>
      <c r="C42" s="63" t="s">
        <v>293</v>
      </c>
      <c r="D42" s="63" t="s">
        <v>275</v>
      </c>
      <c r="E42" s="299">
        <v>369520</v>
      </c>
    </row>
    <row r="43" spans="1:5" x14ac:dyDescent="0.35">
      <c r="A43" s="63" t="s">
        <v>318</v>
      </c>
      <c r="B43" s="63"/>
      <c r="C43" s="63" t="s">
        <v>270</v>
      </c>
      <c r="D43" s="63" t="s">
        <v>275</v>
      </c>
      <c r="E43" s="299">
        <v>42406</v>
      </c>
    </row>
    <row r="44" spans="1:5" x14ac:dyDescent="0.35">
      <c r="A44" s="63" t="s">
        <v>319</v>
      </c>
      <c r="B44" s="63"/>
      <c r="C44" s="63" t="s">
        <v>312</v>
      </c>
      <c r="D44" s="63" t="s">
        <v>275</v>
      </c>
      <c r="E44" s="299">
        <v>48925</v>
      </c>
    </row>
    <row r="45" spans="1:5" x14ac:dyDescent="0.35">
      <c r="A45" s="63" t="s">
        <v>320</v>
      </c>
      <c r="B45" s="63"/>
      <c r="C45" s="63" t="s">
        <v>293</v>
      </c>
      <c r="D45" s="63" t="s">
        <v>271</v>
      </c>
      <c r="E45" s="299">
        <v>399173</v>
      </c>
    </row>
    <row r="46" spans="1:5" x14ac:dyDescent="0.35">
      <c r="A46" s="63" t="s">
        <v>321</v>
      </c>
      <c r="B46" s="63"/>
      <c r="C46" s="63" t="s">
        <v>284</v>
      </c>
      <c r="D46" s="63" t="s">
        <v>275</v>
      </c>
      <c r="E46" s="299">
        <v>298988</v>
      </c>
    </row>
    <row r="47" spans="1:5" x14ac:dyDescent="0.35">
      <c r="A47" s="63" t="s">
        <v>322</v>
      </c>
      <c r="B47" s="63"/>
      <c r="C47" s="63" t="s">
        <v>278</v>
      </c>
      <c r="D47" s="63" t="s">
        <v>275</v>
      </c>
      <c r="E47" s="299">
        <v>157695</v>
      </c>
    </row>
    <row r="48" spans="1:5" x14ac:dyDescent="0.35">
      <c r="A48" s="63" t="s">
        <v>323</v>
      </c>
      <c r="B48" s="63"/>
      <c r="C48" s="63" t="s">
        <v>270</v>
      </c>
      <c r="D48" s="63" t="s">
        <v>275</v>
      </c>
      <c r="E48" s="299">
        <v>48628</v>
      </c>
    </row>
    <row r="49" spans="1:7" x14ac:dyDescent="0.35">
      <c r="A49" s="63" t="s">
        <v>324</v>
      </c>
      <c r="B49" s="63"/>
      <c r="C49" s="63" t="s">
        <v>278</v>
      </c>
      <c r="D49" s="63" t="s">
        <v>271</v>
      </c>
      <c r="E49" s="299">
        <v>189206</v>
      </c>
    </row>
    <row r="50" spans="1:7" x14ac:dyDescent="0.35">
      <c r="A50" s="63" t="s">
        <v>325</v>
      </c>
      <c r="B50" s="63"/>
      <c r="C50" s="63" t="s">
        <v>293</v>
      </c>
      <c r="D50" s="63" t="s">
        <v>275</v>
      </c>
      <c r="E50" s="299">
        <v>402183</v>
      </c>
    </row>
    <row r="51" spans="1:7" x14ac:dyDescent="0.35">
      <c r="A51" s="63" t="s">
        <v>326</v>
      </c>
      <c r="B51" s="63"/>
      <c r="C51" s="63" t="s">
        <v>270</v>
      </c>
      <c r="D51" s="63" t="s">
        <v>271</v>
      </c>
      <c r="E51" s="299">
        <v>46435</v>
      </c>
    </row>
    <row r="52" spans="1:7" x14ac:dyDescent="0.35">
      <c r="A52" s="63" t="s">
        <v>327</v>
      </c>
      <c r="B52" s="63"/>
      <c r="C52" s="63" t="s">
        <v>278</v>
      </c>
      <c r="D52" s="63" t="s">
        <v>275</v>
      </c>
      <c r="E52" s="299">
        <v>167770</v>
      </c>
    </row>
    <row r="53" spans="1:7" x14ac:dyDescent="0.35">
      <c r="A53" s="63" t="s">
        <v>328</v>
      </c>
      <c r="B53" s="63"/>
      <c r="C53" s="63" t="s">
        <v>274</v>
      </c>
      <c r="D53" s="63" t="s">
        <v>275</v>
      </c>
      <c r="E53" s="299">
        <v>11759</v>
      </c>
    </row>
    <row r="54" spans="1:7" x14ac:dyDescent="0.35">
      <c r="A54" s="63" t="s">
        <v>329</v>
      </c>
      <c r="B54" s="63"/>
      <c r="C54" s="63" t="s">
        <v>280</v>
      </c>
      <c r="D54" s="63" t="s">
        <v>235</v>
      </c>
      <c r="E54" s="299">
        <v>843416</v>
      </c>
    </row>
    <row r="55" spans="1:7" x14ac:dyDescent="0.35">
      <c r="A55" s="63" t="s">
        <v>330</v>
      </c>
      <c r="B55" s="63"/>
      <c r="C55" s="63" t="s">
        <v>284</v>
      </c>
      <c r="D55" s="63" t="s">
        <v>275</v>
      </c>
      <c r="E55" s="299">
        <v>337314</v>
      </c>
    </row>
    <row r="56" spans="1:7" x14ac:dyDescent="0.35">
      <c r="A56" s="290" t="s">
        <v>331</v>
      </c>
      <c r="B56" s="290"/>
      <c r="C56" s="290" t="s">
        <v>270</v>
      </c>
      <c r="D56" s="290" t="s">
        <v>275</v>
      </c>
      <c r="E56" s="300">
        <v>34486</v>
      </c>
    </row>
    <row r="62" spans="1:7" ht="13.15" thickBot="1" x14ac:dyDescent="0.4"/>
    <row r="63" spans="1:7" ht="13.5" thickBot="1" x14ac:dyDescent="0.45">
      <c r="B63" s="10" t="s">
        <v>10</v>
      </c>
      <c r="C63" s="11"/>
      <c r="D63" s="11"/>
      <c r="E63" s="11"/>
      <c r="F63" s="11"/>
      <c r="G63" s="12"/>
    </row>
    <row r="64" spans="1:7" outlineLevel="1" x14ac:dyDescent="0.35">
      <c r="B64" s="13"/>
      <c r="G64" s="14"/>
    </row>
    <row r="65" spans="2:7" outlineLevel="1" x14ac:dyDescent="0.35">
      <c r="B65" s="13" t="s">
        <v>332</v>
      </c>
      <c r="G65" s="14"/>
    </row>
    <row r="66" spans="2:7" outlineLevel="1" x14ac:dyDescent="0.35">
      <c r="B66" s="13" t="s">
        <v>333</v>
      </c>
      <c r="G66" s="14"/>
    </row>
    <row r="67" spans="2:7" outlineLevel="1" x14ac:dyDescent="0.35">
      <c r="B67" s="13" t="s">
        <v>334</v>
      </c>
      <c r="G67" s="14"/>
    </row>
    <row r="68" spans="2:7" outlineLevel="1" x14ac:dyDescent="0.35">
      <c r="B68" s="13" t="s">
        <v>335</v>
      </c>
      <c r="G68" s="14"/>
    </row>
    <row r="69" spans="2:7" outlineLevel="1" x14ac:dyDescent="0.35">
      <c r="B69" s="13" t="s">
        <v>336</v>
      </c>
      <c r="G69" s="14"/>
    </row>
    <row r="70" spans="2:7" outlineLevel="1" x14ac:dyDescent="0.35">
      <c r="B70" s="13" t="s">
        <v>337</v>
      </c>
      <c r="G70" s="14"/>
    </row>
    <row r="71" spans="2:7" outlineLevel="1" x14ac:dyDescent="0.35">
      <c r="B71" s="13" t="s">
        <v>338</v>
      </c>
      <c r="G71" s="14"/>
    </row>
    <row r="72" spans="2:7" outlineLevel="1" x14ac:dyDescent="0.35">
      <c r="B72" s="13" t="s">
        <v>339</v>
      </c>
      <c r="G72" s="14"/>
    </row>
    <row r="73" spans="2:7" outlineLevel="1" x14ac:dyDescent="0.35">
      <c r="B73" s="13" t="s">
        <v>340</v>
      </c>
      <c r="G73" s="14"/>
    </row>
    <row r="74" spans="2:7" outlineLevel="1" x14ac:dyDescent="0.35">
      <c r="B74" s="13" t="s">
        <v>341</v>
      </c>
      <c r="G74" s="14"/>
    </row>
    <row r="75" spans="2:7" ht="13.15" outlineLevel="1" thickBot="1" x14ac:dyDescent="0.4">
      <c r="B75" s="15"/>
      <c r="C75" s="16"/>
      <c r="D75" s="16"/>
      <c r="E75" s="16"/>
      <c r="F75" s="16"/>
      <c r="G75" s="17"/>
    </row>
  </sheetData>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6C17C-FF6E-4BCA-B49D-267368AB5759}">
  <sheetPr codeName="Sheet8"/>
  <dimension ref="A1:S48"/>
  <sheetViews>
    <sheetView showGridLines="0" zoomScale="101" zoomScaleNormal="80" workbookViewId="0">
      <selection activeCell="B1" sqref="B1"/>
    </sheetView>
  </sheetViews>
  <sheetFormatPr defaultColWidth="8.86328125" defaultRowHeight="12.75" outlineLevelRow="1" x14ac:dyDescent="0.35"/>
  <cols>
    <col min="1" max="3" width="15.796875" style="3" customWidth="1"/>
    <col min="4" max="4" width="8.86328125" style="3"/>
    <col min="5" max="5" width="10.6640625" style="3" bestFit="1" customWidth="1"/>
    <col min="6" max="10" width="8.86328125" style="3"/>
    <col min="11" max="18" width="18.796875" style="3" customWidth="1"/>
    <col min="19" max="16384" width="8.86328125" style="3"/>
  </cols>
  <sheetData>
    <row r="1" spans="1:19" ht="13.9" x14ac:dyDescent="0.4">
      <c r="A1" s="1" t="s">
        <v>120</v>
      </c>
    </row>
    <row r="2" spans="1:19" x14ac:dyDescent="0.35">
      <c r="Q2" s="293" t="s">
        <v>852</v>
      </c>
    </row>
    <row r="3" spans="1:19" x14ac:dyDescent="0.35">
      <c r="A3" s="3">
        <f>COLUMN()</f>
        <v>1</v>
      </c>
      <c r="B3" s="3">
        <f>COLUMN()</f>
        <v>2</v>
      </c>
      <c r="C3" s="3">
        <f>COLUMN()</f>
        <v>3</v>
      </c>
      <c r="D3" s="3">
        <f>COLUMN()</f>
        <v>4</v>
      </c>
      <c r="E3" s="3">
        <f>COLUMN()</f>
        <v>5</v>
      </c>
      <c r="F3" s="3">
        <f>COLUMN()</f>
        <v>6</v>
      </c>
      <c r="G3" s="3">
        <f>COLUMN()</f>
        <v>7</v>
      </c>
      <c r="H3" s="3">
        <f>COLUMN()</f>
        <v>8</v>
      </c>
      <c r="I3" s="3">
        <f>COLUMN()</f>
        <v>9</v>
      </c>
      <c r="J3" s="3">
        <f>COLUMN()</f>
        <v>10</v>
      </c>
      <c r="K3" s="3">
        <f>COLUMN()</f>
        <v>11</v>
      </c>
      <c r="L3" s="3">
        <f>COLUMN()</f>
        <v>12</v>
      </c>
      <c r="Q3" s="3">
        <f>COLUMN()</f>
        <v>17</v>
      </c>
      <c r="R3" s="3">
        <f>COLUMN()</f>
        <v>18</v>
      </c>
      <c r="S3" s="3">
        <f>COLUMN()</f>
        <v>19</v>
      </c>
    </row>
    <row r="4" spans="1:19" ht="13.15" x14ac:dyDescent="0.4">
      <c r="A4" s="48" t="s">
        <v>121</v>
      </c>
      <c r="B4" s="48" t="s">
        <v>122</v>
      </c>
      <c r="C4" s="48" t="s">
        <v>123</v>
      </c>
      <c r="K4" s="49" t="s">
        <v>122</v>
      </c>
      <c r="L4" s="49" t="s">
        <v>121</v>
      </c>
      <c r="M4" s="49"/>
      <c r="N4" s="49"/>
      <c r="O4" s="49"/>
      <c r="P4" s="49"/>
      <c r="Q4" s="49" t="s">
        <v>124</v>
      </c>
      <c r="R4" s="49" t="s">
        <v>123</v>
      </c>
    </row>
    <row r="5" spans="1:19" x14ac:dyDescent="0.35">
      <c r="A5" s="50" t="s">
        <v>125</v>
      </c>
      <c r="B5" s="50" t="str">
        <f>INDEX($K$5:$K$34,MATCH(A5,$L$5:$L$34,0))</f>
        <v>AP</v>
      </c>
      <c r="C5" s="50" cm="1">
        <f t="array" ref="C5">INDEX($R$5:$R$34,MATCH(A5,TRIM($L$5:$L$34),0))</f>
        <v>92</v>
      </c>
      <c r="K5" s="50" t="s">
        <v>126</v>
      </c>
      <c r="L5" s="50" t="s">
        <v>127</v>
      </c>
      <c r="M5" s="50"/>
      <c r="N5" s="50"/>
      <c r="O5" s="50"/>
      <c r="P5" s="50"/>
      <c r="Q5" s="50" t="s">
        <v>128</v>
      </c>
      <c r="R5" s="50">
        <v>172</v>
      </c>
    </row>
    <row r="6" spans="1:19" x14ac:dyDescent="0.35">
      <c r="A6" s="50" t="s">
        <v>129</v>
      </c>
      <c r="B6" s="50" t="str" cm="1">
        <f t="array" ref="B6">INDEX($K$5:$K$34,MATCH(A6,TRIM($L$5:$L$34),0))</f>
        <v>AP</v>
      </c>
      <c r="C6" s="50" cm="1">
        <f t="array" ref="C6">INDEX($R$5:$R$34,MATCH(A6,TRIM($L$5:$L$34),0))</f>
        <v>162</v>
      </c>
      <c r="K6" s="50" t="s">
        <v>126</v>
      </c>
      <c r="L6" s="50" t="s">
        <v>125</v>
      </c>
      <c r="M6" s="50"/>
      <c r="N6" s="50"/>
      <c r="O6" s="50"/>
      <c r="P6" s="50"/>
      <c r="Q6" s="50" t="s">
        <v>130</v>
      </c>
      <c r="R6" s="50">
        <v>92</v>
      </c>
    </row>
    <row r="7" spans="1:19" x14ac:dyDescent="0.35">
      <c r="A7" s="50" t="s">
        <v>131</v>
      </c>
      <c r="B7" s="50" t="str">
        <f t="shared" ref="B7:B10" si="0">INDEX($K$5:$K$34,MATCH(A7,$L$5:$L$34,0))</f>
        <v>AP</v>
      </c>
      <c r="C7" s="50" cm="1">
        <f t="array" ref="C7">INDEX($R$5:$R$34,MATCH(A7,TRIM($L$5:$L$34),0))</f>
        <v>54</v>
      </c>
      <c r="K7" s="50" t="s">
        <v>126</v>
      </c>
      <c r="L7" s="50" t="s">
        <v>132</v>
      </c>
      <c r="M7" s="50"/>
      <c r="N7" s="50"/>
      <c r="O7" s="50"/>
      <c r="P7" s="50"/>
      <c r="Q7" s="50" t="s">
        <v>133</v>
      </c>
      <c r="R7" s="50">
        <v>159</v>
      </c>
    </row>
    <row r="8" spans="1:19" x14ac:dyDescent="0.35">
      <c r="A8" s="50" t="s">
        <v>134</v>
      </c>
      <c r="B8" s="50" t="str">
        <f t="shared" si="0"/>
        <v>EMEA</v>
      </c>
      <c r="C8" s="50" cm="1">
        <f t="array" ref="C8">INDEX($R$5:$R$34,MATCH(A8,TRIM($L$5:$L$34),0))</f>
        <v>164</v>
      </c>
      <c r="K8" s="50" t="s">
        <v>126</v>
      </c>
      <c r="L8" s="50" t="s">
        <v>135</v>
      </c>
      <c r="M8" s="50"/>
      <c r="N8" s="50"/>
      <c r="O8" s="50"/>
      <c r="P8" s="50"/>
      <c r="Q8" s="50" t="s">
        <v>136</v>
      </c>
      <c r="R8" s="50">
        <v>87</v>
      </c>
    </row>
    <row r="9" spans="1:19" x14ac:dyDescent="0.35">
      <c r="A9" s="50" t="s">
        <v>132</v>
      </c>
      <c r="B9" s="50" t="str">
        <f t="shared" si="0"/>
        <v>AP</v>
      </c>
      <c r="C9" s="50" cm="1">
        <f t="array" ref="C9">INDEX($R$5:$R$34,MATCH(A9,TRIM($L$5:$L$34),0))</f>
        <v>159</v>
      </c>
      <c r="K9" s="50" t="s">
        <v>137</v>
      </c>
      <c r="L9" s="50" t="s">
        <v>138</v>
      </c>
      <c r="M9" s="50"/>
      <c r="N9" s="50"/>
      <c r="O9" s="50"/>
      <c r="P9" s="50"/>
      <c r="Q9" s="50" t="s">
        <v>139</v>
      </c>
      <c r="R9" s="50">
        <v>81</v>
      </c>
    </row>
    <row r="10" spans="1:19" x14ac:dyDescent="0.35">
      <c r="A10" s="50" t="s">
        <v>157</v>
      </c>
      <c r="B10" s="50" t="str">
        <f t="shared" si="0"/>
        <v>EMEA</v>
      </c>
      <c r="C10" s="50" cm="1">
        <f t="array" ref="C10">INDEX($R$5:$R$34,MATCH(A10,TRIM($L$5:$L$34),0))</f>
        <v>105</v>
      </c>
      <c r="K10" s="50" t="s">
        <v>140</v>
      </c>
      <c r="L10" s="50" t="s">
        <v>141</v>
      </c>
      <c r="M10" s="50"/>
      <c r="N10" s="50"/>
      <c r="O10" s="50"/>
      <c r="P10" s="50"/>
      <c r="Q10" s="50" t="s">
        <v>142</v>
      </c>
      <c r="R10" s="50">
        <v>67</v>
      </c>
    </row>
    <row r="11" spans="1:19" x14ac:dyDescent="0.35">
      <c r="K11" s="50" t="s">
        <v>126</v>
      </c>
      <c r="L11" s="50" t="s">
        <v>143</v>
      </c>
      <c r="M11" s="50"/>
      <c r="N11" s="50"/>
      <c r="O11" s="50"/>
      <c r="P11" s="50"/>
      <c r="Q11" s="50" t="s">
        <v>144</v>
      </c>
      <c r="R11" s="50">
        <v>184</v>
      </c>
    </row>
    <row r="12" spans="1:19" x14ac:dyDescent="0.35">
      <c r="K12" s="50" t="s">
        <v>137</v>
      </c>
      <c r="L12" s="50" t="s">
        <v>145</v>
      </c>
      <c r="M12" s="50"/>
      <c r="N12" s="50"/>
      <c r="O12" s="50"/>
      <c r="P12" s="50"/>
      <c r="Q12" s="50" t="s">
        <v>146</v>
      </c>
      <c r="R12" s="50">
        <v>145</v>
      </c>
    </row>
    <row r="13" spans="1:19" x14ac:dyDescent="0.35">
      <c r="C13" s="293" t="s">
        <v>853</v>
      </c>
      <c r="K13" s="50" t="s">
        <v>126</v>
      </c>
      <c r="L13" s="50" t="s">
        <v>147</v>
      </c>
      <c r="M13" s="50"/>
      <c r="N13" s="50"/>
      <c r="O13" s="50"/>
      <c r="P13" s="50"/>
      <c r="Q13" s="50" t="s">
        <v>148</v>
      </c>
      <c r="R13" s="50">
        <v>158</v>
      </c>
    </row>
    <row r="14" spans="1:19" x14ac:dyDescent="0.35">
      <c r="C14" s="293" t="s">
        <v>854</v>
      </c>
      <c r="K14" s="50" t="s">
        <v>140</v>
      </c>
      <c r="L14" s="50" t="s">
        <v>149</v>
      </c>
      <c r="M14" s="50"/>
      <c r="N14" s="50"/>
      <c r="O14" s="50"/>
      <c r="P14" s="50"/>
      <c r="Q14" s="50" t="s">
        <v>150</v>
      </c>
      <c r="R14" s="50">
        <v>30</v>
      </c>
    </row>
    <row r="15" spans="1:19" x14ac:dyDescent="0.35">
      <c r="K15" s="50" t="s">
        <v>140</v>
      </c>
      <c r="L15" s="50" t="s">
        <v>151</v>
      </c>
      <c r="M15" s="50"/>
      <c r="N15" s="50"/>
      <c r="O15" s="50"/>
      <c r="P15" s="50"/>
      <c r="Q15" s="50" t="s">
        <v>152</v>
      </c>
      <c r="R15" s="50">
        <v>61</v>
      </c>
    </row>
    <row r="16" spans="1:19" x14ac:dyDescent="0.35">
      <c r="C16" s="293" t="s">
        <v>855</v>
      </c>
      <c r="K16" s="50" t="s">
        <v>137</v>
      </c>
      <c r="L16" s="50" t="s">
        <v>153</v>
      </c>
      <c r="M16" s="50"/>
      <c r="N16" s="50"/>
      <c r="O16" s="50"/>
      <c r="P16" s="50"/>
      <c r="Q16" s="50" t="s">
        <v>154</v>
      </c>
      <c r="R16" s="50">
        <v>98</v>
      </c>
    </row>
    <row r="17" spans="1:18" x14ac:dyDescent="0.35">
      <c r="K17" s="50" t="s">
        <v>140</v>
      </c>
      <c r="L17" s="50" t="s">
        <v>155</v>
      </c>
      <c r="M17" s="50"/>
      <c r="N17" s="50"/>
      <c r="O17" s="50"/>
      <c r="P17" s="50"/>
      <c r="Q17" s="50" t="s">
        <v>156</v>
      </c>
      <c r="R17" s="50">
        <v>141</v>
      </c>
    </row>
    <row r="18" spans="1:18" x14ac:dyDescent="0.35">
      <c r="A18" s="293" t="s">
        <v>620</v>
      </c>
      <c r="K18" s="50" t="s">
        <v>137</v>
      </c>
      <c r="L18" s="50" t="s">
        <v>157</v>
      </c>
      <c r="M18" s="50"/>
      <c r="N18" s="50"/>
      <c r="O18" s="50"/>
      <c r="P18" s="50"/>
      <c r="Q18" s="50" t="s">
        <v>158</v>
      </c>
      <c r="R18" s="50">
        <v>105</v>
      </c>
    </row>
    <row r="19" spans="1:18" ht="13.15" x14ac:dyDescent="0.4">
      <c r="A19" s="57" t="s">
        <v>844</v>
      </c>
      <c r="E19" s="45"/>
      <c r="K19" s="50" t="s">
        <v>137</v>
      </c>
      <c r="L19" s="50" t="s">
        <v>159</v>
      </c>
      <c r="M19" s="50"/>
      <c r="N19" s="50"/>
      <c r="O19" s="50"/>
      <c r="P19" s="50"/>
      <c r="Q19" s="50" t="s">
        <v>160</v>
      </c>
      <c r="R19" s="50">
        <v>176</v>
      </c>
    </row>
    <row r="20" spans="1:18" x14ac:dyDescent="0.35">
      <c r="A20" s="293" t="s">
        <v>845</v>
      </c>
      <c r="K20" s="50" t="s">
        <v>140</v>
      </c>
      <c r="L20" s="50" t="s">
        <v>161</v>
      </c>
      <c r="M20" s="50"/>
      <c r="N20" s="50"/>
      <c r="O20" s="50"/>
      <c r="P20" s="50"/>
      <c r="Q20" s="50" t="s">
        <v>162</v>
      </c>
      <c r="R20" s="50">
        <v>71</v>
      </c>
    </row>
    <row r="21" spans="1:18" ht="13.15" x14ac:dyDescent="0.4">
      <c r="A21" s="57" t="s">
        <v>846</v>
      </c>
      <c r="K21" s="50" t="s">
        <v>137</v>
      </c>
      <c r="L21" s="50" t="s">
        <v>134</v>
      </c>
      <c r="M21" s="50"/>
      <c r="N21" s="50"/>
      <c r="O21" s="50"/>
      <c r="P21" s="50"/>
      <c r="Q21" s="50" t="s">
        <v>163</v>
      </c>
      <c r="R21" s="50">
        <v>164</v>
      </c>
    </row>
    <row r="22" spans="1:18" x14ac:dyDescent="0.35">
      <c r="A22" s="293" t="s">
        <v>847</v>
      </c>
      <c r="K22" s="50" t="s">
        <v>137</v>
      </c>
      <c r="L22" s="50" t="s">
        <v>164</v>
      </c>
      <c r="M22" s="50"/>
      <c r="N22" s="50"/>
      <c r="O22" s="50"/>
      <c r="P22" s="50"/>
      <c r="Q22" s="50" t="s">
        <v>165</v>
      </c>
      <c r="R22" s="50">
        <v>27</v>
      </c>
    </row>
    <row r="23" spans="1:18" x14ac:dyDescent="0.35">
      <c r="K23" s="50" t="s">
        <v>140</v>
      </c>
      <c r="L23" s="50" t="s">
        <v>166</v>
      </c>
      <c r="M23" s="50"/>
      <c r="N23" s="50"/>
      <c r="O23" s="50"/>
      <c r="P23" s="50"/>
      <c r="Q23" s="50" t="s">
        <v>167</v>
      </c>
      <c r="R23" s="50">
        <v>103</v>
      </c>
    </row>
    <row r="24" spans="1:18" x14ac:dyDescent="0.35">
      <c r="A24" s="293" t="s">
        <v>848</v>
      </c>
      <c r="K24" s="50" t="s">
        <v>126</v>
      </c>
      <c r="L24" s="50" t="s">
        <v>168</v>
      </c>
      <c r="M24" s="50"/>
      <c r="N24" s="50"/>
      <c r="O24" s="50"/>
      <c r="P24" s="50"/>
      <c r="Q24" s="50" t="s">
        <v>169</v>
      </c>
      <c r="R24" s="50">
        <v>162</v>
      </c>
    </row>
    <row r="25" spans="1:18" x14ac:dyDescent="0.35">
      <c r="A25" s="293" t="s">
        <v>849</v>
      </c>
      <c r="K25" s="50" t="s">
        <v>140</v>
      </c>
      <c r="L25" s="50" t="s">
        <v>170</v>
      </c>
      <c r="M25" s="50"/>
      <c r="N25" s="50"/>
      <c r="O25" s="50"/>
      <c r="P25" s="50"/>
      <c r="Q25" s="50" t="s">
        <v>171</v>
      </c>
      <c r="R25" s="50">
        <v>97</v>
      </c>
    </row>
    <row r="26" spans="1:18" x14ac:dyDescent="0.35">
      <c r="A26" s="293" t="s">
        <v>850</v>
      </c>
      <c r="K26" s="327" t="s">
        <v>126</v>
      </c>
      <c r="L26" s="327" t="s">
        <v>131</v>
      </c>
      <c r="M26" s="327"/>
      <c r="N26" s="327"/>
      <c r="O26" s="327"/>
      <c r="P26" s="327"/>
      <c r="Q26" s="327" t="s">
        <v>172</v>
      </c>
      <c r="R26" s="327">
        <v>54</v>
      </c>
    </row>
    <row r="27" spans="1:18" x14ac:dyDescent="0.35">
      <c r="A27" s="293" t="s">
        <v>851</v>
      </c>
      <c r="K27" s="50" t="s">
        <v>137</v>
      </c>
      <c r="L27" s="50" t="s">
        <v>173</v>
      </c>
      <c r="M27" s="50"/>
      <c r="N27" s="50"/>
      <c r="O27" s="50"/>
      <c r="P27" s="50"/>
      <c r="Q27" s="50" t="s">
        <v>174</v>
      </c>
      <c r="R27" s="50">
        <v>52</v>
      </c>
    </row>
    <row r="28" spans="1:18" x14ac:dyDescent="0.35">
      <c r="K28" s="50" t="s">
        <v>140</v>
      </c>
      <c r="L28" s="50" t="s">
        <v>175</v>
      </c>
      <c r="M28" s="50"/>
      <c r="N28" s="50"/>
      <c r="O28" s="50"/>
      <c r="P28" s="50"/>
      <c r="Q28" s="50" t="s">
        <v>176</v>
      </c>
      <c r="R28" s="50">
        <v>52</v>
      </c>
    </row>
    <row r="29" spans="1:18" x14ac:dyDescent="0.35">
      <c r="K29" s="50" t="s">
        <v>126</v>
      </c>
      <c r="L29" s="50" t="s">
        <v>177</v>
      </c>
      <c r="M29" s="50"/>
      <c r="N29" s="50"/>
      <c r="O29" s="50"/>
      <c r="P29" s="50"/>
      <c r="Q29" s="50" t="s">
        <v>178</v>
      </c>
      <c r="R29" s="50">
        <v>168</v>
      </c>
    </row>
    <row r="30" spans="1:18" x14ac:dyDescent="0.35">
      <c r="K30" s="50" t="s">
        <v>140</v>
      </c>
      <c r="L30" s="50" t="s">
        <v>179</v>
      </c>
      <c r="M30" s="50"/>
      <c r="N30" s="50"/>
      <c r="O30" s="50"/>
      <c r="P30" s="50"/>
      <c r="Q30" s="50" t="s">
        <v>180</v>
      </c>
      <c r="R30" s="50">
        <v>55</v>
      </c>
    </row>
    <row r="31" spans="1:18" x14ac:dyDescent="0.35">
      <c r="B31" s="293" t="s">
        <v>856</v>
      </c>
      <c r="K31" s="50" t="s">
        <v>137</v>
      </c>
      <c r="L31" s="50" t="s">
        <v>181</v>
      </c>
      <c r="M31" s="50"/>
      <c r="N31" s="50"/>
      <c r="O31" s="50"/>
      <c r="P31" s="50"/>
      <c r="Q31" s="50" t="s">
        <v>182</v>
      </c>
      <c r="R31" s="50">
        <v>186</v>
      </c>
    </row>
    <row r="32" spans="1:18" x14ac:dyDescent="0.35">
      <c r="K32" s="50" t="s">
        <v>126</v>
      </c>
      <c r="L32" s="50" t="s">
        <v>183</v>
      </c>
      <c r="M32" s="50"/>
      <c r="N32" s="50"/>
      <c r="O32" s="50"/>
      <c r="P32" s="50"/>
      <c r="Q32" s="50" t="s">
        <v>184</v>
      </c>
      <c r="R32" s="50">
        <v>173</v>
      </c>
    </row>
    <row r="33" spans="2:18" x14ac:dyDescent="0.35">
      <c r="K33" s="328" t="s">
        <v>137</v>
      </c>
      <c r="L33" s="328" t="s">
        <v>131</v>
      </c>
      <c r="M33" s="328"/>
      <c r="N33" s="328"/>
      <c r="O33" s="328"/>
      <c r="P33" s="328"/>
      <c r="Q33" s="328" t="s">
        <v>185</v>
      </c>
      <c r="R33" s="328">
        <v>13</v>
      </c>
    </row>
    <row r="34" spans="2:18" x14ac:dyDescent="0.35">
      <c r="K34" s="50" t="s">
        <v>140</v>
      </c>
      <c r="L34" s="50" t="s">
        <v>186</v>
      </c>
      <c r="M34" s="50"/>
      <c r="N34" s="50"/>
      <c r="O34" s="50"/>
      <c r="P34" s="50"/>
      <c r="Q34" s="50" t="s">
        <v>187</v>
      </c>
      <c r="R34" s="50">
        <v>119</v>
      </c>
    </row>
    <row r="37" spans="2:18" ht="13.15" thickBot="1" x14ac:dyDescent="0.4"/>
    <row r="38" spans="2:18" ht="13.5" thickBot="1" x14ac:dyDescent="0.45">
      <c r="B38" s="10" t="s">
        <v>10</v>
      </c>
      <c r="C38" s="11"/>
      <c r="D38" s="11"/>
      <c r="E38" s="11"/>
      <c r="F38" s="11"/>
      <c r="G38" s="12"/>
    </row>
    <row r="39" spans="2:18" outlineLevel="1" x14ac:dyDescent="0.35">
      <c r="B39" s="13"/>
      <c r="G39" s="14"/>
    </row>
    <row r="40" spans="2:18" s="57" customFormat="1" ht="13.15" outlineLevel="1" x14ac:dyDescent="0.4">
      <c r="B40" s="47" t="s">
        <v>188</v>
      </c>
      <c r="G40" s="217"/>
    </row>
    <row r="41" spans="2:18" s="57" customFormat="1" ht="13.15" outlineLevel="1" x14ac:dyDescent="0.4">
      <c r="B41" s="47" t="s">
        <v>189</v>
      </c>
      <c r="G41" s="217"/>
    </row>
    <row r="42" spans="2:18" s="57" customFormat="1" ht="13.15" outlineLevel="1" x14ac:dyDescent="0.4">
      <c r="B42" s="47" t="s">
        <v>190</v>
      </c>
      <c r="G42" s="217"/>
    </row>
    <row r="43" spans="2:18" ht="13.15" outlineLevel="1" x14ac:dyDescent="0.4">
      <c r="B43" s="47" t="s">
        <v>191</v>
      </c>
      <c r="C43" s="57"/>
      <c r="G43" s="14"/>
    </row>
    <row r="44" spans="2:18" ht="13.15" outlineLevel="1" x14ac:dyDescent="0.4">
      <c r="B44" s="47" t="s">
        <v>192</v>
      </c>
      <c r="G44" s="14"/>
    </row>
    <row r="45" spans="2:18" s="57" customFormat="1" ht="13.15" outlineLevel="1" x14ac:dyDescent="0.4">
      <c r="B45" s="47" t="s">
        <v>193</v>
      </c>
      <c r="G45" s="217"/>
    </row>
    <row r="46" spans="2:18" s="57" customFormat="1" ht="13.15" outlineLevel="1" x14ac:dyDescent="0.4">
      <c r="B46" s="47" t="s">
        <v>194</v>
      </c>
      <c r="G46" s="217"/>
    </row>
    <row r="47" spans="2:18" s="57" customFormat="1" ht="13.15" outlineLevel="1" x14ac:dyDescent="0.4">
      <c r="B47" s="47" t="s">
        <v>195</v>
      </c>
      <c r="G47" s="217"/>
    </row>
    <row r="48" spans="2:18" ht="13.15" outlineLevel="1" thickBot="1" x14ac:dyDescent="0.4">
      <c r="B48" s="15"/>
      <c r="C48" s="16"/>
      <c r="D48" s="16"/>
      <c r="E48" s="16"/>
      <c r="F48" s="16"/>
      <c r="G48" s="17"/>
    </row>
  </sheetData>
  <conditionalFormatting sqref="A10">
    <cfRule type="duplicateValues" dxfId="1" priority="2"/>
  </conditionalFormatting>
  <conditionalFormatting sqref="L4:P34">
    <cfRule type="duplicateValues" dxfId="0" priority="1"/>
  </conditionalFormatting>
  <pageMargins left="0.7" right="0.7" top="0.75" bottom="0.75" header="0.3" footer="0.3"/>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5FB59-E275-424E-BD4F-CC88706B9C19}">
  <dimension ref="A2:BG36"/>
  <sheetViews>
    <sheetView topLeftCell="C10" zoomScale="130" zoomScaleNormal="130" workbookViewId="0">
      <selection activeCell="C30" sqref="C30"/>
    </sheetView>
  </sheetViews>
  <sheetFormatPr defaultRowHeight="14.25" x14ac:dyDescent="0.45"/>
  <cols>
    <col min="2" max="2" width="15.6640625" customWidth="1"/>
    <col min="6" max="8" width="8.796875" customWidth="1"/>
  </cols>
  <sheetData>
    <row r="2" spans="2:7" x14ac:dyDescent="0.45">
      <c r="B2" t="s">
        <v>889</v>
      </c>
      <c r="C2" t="s">
        <v>884</v>
      </c>
      <c r="F2" s="302" t="s">
        <v>887</v>
      </c>
    </row>
    <row r="3" spans="2:7" x14ac:dyDescent="0.45">
      <c r="B3" t="s">
        <v>380</v>
      </c>
      <c r="C3">
        <v>1000</v>
      </c>
      <c r="F3" t="s">
        <v>885</v>
      </c>
      <c r="G3">
        <v>950</v>
      </c>
    </row>
    <row r="4" spans="2:7" x14ac:dyDescent="0.45">
      <c r="B4" t="s">
        <v>877</v>
      </c>
      <c r="C4">
        <v>600</v>
      </c>
      <c r="F4" t="s">
        <v>886</v>
      </c>
      <c r="G4">
        <v>600</v>
      </c>
    </row>
    <row r="5" spans="2:7" x14ac:dyDescent="0.45">
      <c r="B5" s="302" t="s">
        <v>878</v>
      </c>
      <c r="C5" s="302">
        <f>C3-C4</f>
        <v>400</v>
      </c>
      <c r="G5">
        <f>G3-G4</f>
        <v>350</v>
      </c>
    </row>
    <row r="6" spans="2:7" x14ac:dyDescent="0.45">
      <c r="B6" t="s">
        <v>879</v>
      </c>
      <c r="C6">
        <v>30</v>
      </c>
      <c r="G6">
        <v>30</v>
      </c>
    </row>
    <row r="7" spans="2:7" x14ac:dyDescent="0.45">
      <c r="B7" t="s">
        <v>378</v>
      </c>
      <c r="C7">
        <v>2</v>
      </c>
      <c r="G7">
        <v>0</v>
      </c>
    </row>
    <row r="8" spans="2:7" x14ac:dyDescent="0.45">
      <c r="B8" t="s">
        <v>880</v>
      </c>
      <c r="C8">
        <v>5</v>
      </c>
      <c r="G8">
        <v>5</v>
      </c>
    </row>
    <row r="9" spans="2:7" x14ac:dyDescent="0.45">
      <c r="B9" s="302" t="s">
        <v>881</v>
      </c>
      <c r="C9" s="302">
        <f>C5-C6-C7+C8</f>
        <v>373</v>
      </c>
      <c r="F9" t="s">
        <v>888</v>
      </c>
      <c r="G9" s="302">
        <f>G5-G6-G7+G8</f>
        <v>325</v>
      </c>
    </row>
    <row r="10" spans="2:7" x14ac:dyDescent="0.45">
      <c r="B10" t="s">
        <v>882</v>
      </c>
      <c r="C10">
        <v>100</v>
      </c>
      <c r="G10">
        <v>0</v>
      </c>
    </row>
    <row r="11" spans="2:7" x14ac:dyDescent="0.45">
      <c r="B11" s="302" t="s">
        <v>349</v>
      </c>
      <c r="C11" s="302">
        <f>C9-C10</f>
        <v>273</v>
      </c>
      <c r="F11" s="302" t="s">
        <v>349</v>
      </c>
      <c r="G11" s="302">
        <f>G9-G10</f>
        <v>325</v>
      </c>
    </row>
    <row r="12" spans="2:7" x14ac:dyDescent="0.45">
      <c r="B12" t="s">
        <v>208</v>
      </c>
      <c r="C12">
        <v>15</v>
      </c>
      <c r="F12" t="s">
        <v>208</v>
      </c>
      <c r="G12">
        <v>15</v>
      </c>
    </row>
    <row r="13" spans="2:7" x14ac:dyDescent="0.45">
      <c r="B13" t="s">
        <v>883</v>
      </c>
      <c r="C13">
        <f>C11-C12</f>
        <v>258</v>
      </c>
      <c r="F13" t="s">
        <v>883</v>
      </c>
      <c r="G13">
        <f>G11-G12</f>
        <v>310</v>
      </c>
    </row>
    <row r="14" spans="2:7" x14ac:dyDescent="0.45">
      <c r="B14" t="s">
        <v>210</v>
      </c>
      <c r="C14">
        <f>MAX(C13*D14,0)</f>
        <v>77.399999999999991</v>
      </c>
      <c r="D14" s="359">
        <v>0.3</v>
      </c>
      <c r="G14">
        <f>C14</f>
        <v>77.399999999999991</v>
      </c>
    </row>
    <row r="15" spans="2:7" x14ac:dyDescent="0.45">
      <c r="B15" t="s">
        <v>211</v>
      </c>
      <c r="C15">
        <f>C13-C14</f>
        <v>180.60000000000002</v>
      </c>
      <c r="F15" t="s">
        <v>890</v>
      </c>
      <c r="G15">
        <f>G13-G14</f>
        <v>232.60000000000002</v>
      </c>
    </row>
    <row r="17" spans="1:10" x14ac:dyDescent="0.45">
      <c r="D17">
        <v>10</v>
      </c>
    </row>
    <row r="18" spans="1:10" x14ac:dyDescent="0.45">
      <c r="D18">
        <v>15</v>
      </c>
    </row>
    <row r="19" spans="1:10" x14ac:dyDescent="0.45">
      <c r="D19">
        <f>+MAX(D17,D18)</f>
        <v>15</v>
      </c>
    </row>
    <row r="23" spans="1:10" x14ac:dyDescent="0.45">
      <c r="C23" t="s">
        <v>891</v>
      </c>
      <c r="J23" t="s">
        <v>892</v>
      </c>
    </row>
    <row r="24" spans="1:10" x14ac:dyDescent="0.45">
      <c r="C24" t="s">
        <v>893</v>
      </c>
      <c r="J24" t="s">
        <v>898</v>
      </c>
    </row>
    <row r="26" spans="1:10" x14ac:dyDescent="0.45">
      <c r="A26" t="s">
        <v>895</v>
      </c>
      <c r="B26">
        <v>100</v>
      </c>
    </row>
    <row r="27" spans="1:10" x14ac:dyDescent="0.45">
      <c r="A27" t="s">
        <v>896</v>
      </c>
      <c r="B27">
        <v>0</v>
      </c>
    </row>
    <row r="28" spans="1:10" x14ac:dyDescent="0.45">
      <c r="B28" t="s">
        <v>894</v>
      </c>
    </row>
    <row r="30" spans="1:10" x14ac:dyDescent="0.45">
      <c r="A30" t="s">
        <v>897</v>
      </c>
      <c r="C30">
        <f>B26-B27</f>
        <v>100</v>
      </c>
    </row>
    <row r="31" spans="1:10" x14ac:dyDescent="0.45">
      <c r="C31">
        <f>C30/5</f>
        <v>20</v>
      </c>
    </row>
    <row r="34" spans="2:59" x14ac:dyDescent="0.45">
      <c r="D34" t="s">
        <v>899</v>
      </c>
      <c r="E34">
        <v>100</v>
      </c>
      <c r="F34">
        <f>E36</f>
        <v>90</v>
      </c>
      <c r="G34">
        <f t="shared" ref="G34:S34" si="0">F36</f>
        <v>81</v>
      </c>
      <c r="H34">
        <f t="shared" si="0"/>
        <v>72.900000000000006</v>
      </c>
      <c r="I34">
        <f t="shared" si="0"/>
        <v>65.61</v>
      </c>
      <c r="J34">
        <f t="shared" si="0"/>
        <v>59.048999999999999</v>
      </c>
      <c r="K34">
        <f t="shared" si="0"/>
        <v>53.144100000000002</v>
      </c>
      <c r="L34">
        <f t="shared" si="0"/>
        <v>47.829689999999999</v>
      </c>
      <c r="M34">
        <f t="shared" si="0"/>
        <v>43.046720999999998</v>
      </c>
      <c r="N34">
        <f t="shared" si="0"/>
        <v>38.7420489</v>
      </c>
      <c r="O34">
        <f t="shared" si="0"/>
        <v>34.867844009999999</v>
      </c>
      <c r="P34">
        <f t="shared" si="0"/>
        <v>31.381059608999998</v>
      </c>
      <c r="Q34">
        <f t="shared" si="0"/>
        <v>28.242953648099999</v>
      </c>
      <c r="R34">
        <f t="shared" si="0"/>
        <v>25.41865828329</v>
      </c>
      <c r="S34">
        <f t="shared" si="0"/>
        <v>22.876792454960999</v>
      </c>
      <c r="T34">
        <f t="shared" ref="T34:AI34" si="1">S36</f>
        <v>20.589113209464898</v>
      </c>
      <c r="U34">
        <f t="shared" si="1"/>
        <v>18.530201888518409</v>
      </c>
      <c r="V34">
        <f t="shared" si="1"/>
        <v>16.677181699666569</v>
      </c>
      <c r="W34">
        <f t="shared" si="1"/>
        <v>15.009463529699913</v>
      </c>
      <c r="X34">
        <f t="shared" si="1"/>
        <v>13.508517176729921</v>
      </c>
      <c r="Y34">
        <f t="shared" si="1"/>
        <v>12.157665459056929</v>
      </c>
      <c r="Z34">
        <f t="shared" si="1"/>
        <v>10.941898913151237</v>
      </c>
      <c r="AA34">
        <f t="shared" si="1"/>
        <v>9.8477090218361134</v>
      </c>
      <c r="AB34">
        <f t="shared" si="1"/>
        <v>8.8629381196525028</v>
      </c>
      <c r="AC34">
        <f t="shared" si="1"/>
        <v>7.976644307687252</v>
      </c>
      <c r="AD34">
        <f t="shared" si="1"/>
        <v>7.1789798769185271</v>
      </c>
      <c r="AE34">
        <f t="shared" si="1"/>
        <v>6.4610818892266746</v>
      </c>
      <c r="AF34">
        <f t="shared" si="1"/>
        <v>5.814973700304007</v>
      </c>
      <c r="AG34">
        <f t="shared" si="1"/>
        <v>5.2334763302736063</v>
      </c>
      <c r="AH34">
        <f t="shared" si="1"/>
        <v>4.7101286972462457</v>
      </c>
      <c r="AI34">
        <f t="shared" si="1"/>
        <v>4.239115827521621</v>
      </c>
      <c r="AJ34">
        <f t="shared" ref="AJ34:BG34" si="2">AI36</f>
        <v>3.815204244769459</v>
      </c>
      <c r="AK34">
        <f t="shared" si="2"/>
        <v>3.4336838202925133</v>
      </c>
      <c r="AL34">
        <f t="shared" si="2"/>
        <v>3.090315438263262</v>
      </c>
      <c r="AM34">
        <f t="shared" si="2"/>
        <v>2.7812838944369358</v>
      </c>
      <c r="AN34">
        <f t="shared" si="2"/>
        <v>2.5031555049932424</v>
      </c>
      <c r="AO34">
        <f t="shared" si="2"/>
        <v>2.2528399544939179</v>
      </c>
      <c r="AP34">
        <f t="shared" si="2"/>
        <v>2.027555959044526</v>
      </c>
      <c r="AQ34">
        <f t="shared" si="2"/>
        <v>1.8248003631400733</v>
      </c>
      <c r="AR34">
        <f t="shared" si="2"/>
        <v>1.642320326826066</v>
      </c>
      <c r="AS34">
        <f t="shared" si="2"/>
        <v>1.4780882941434594</v>
      </c>
      <c r="AT34">
        <f t="shared" si="2"/>
        <v>1.3302794647291134</v>
      </c>
      <c r="AU34">
        <f t="shared" si="2"/>
        <v>1.197251518256202</v>
      </c>
      <c r="AV34">
        <f t="shared" si="2"/>
        <v>1.0775263664305819</v>
      </c>
      <c r="AW34">
        <f t="shared" si="2"/>
        <v>0.96977372978752363</v>
      </c>
      <c r="AX34">
        <f t="shared" si="2"/>
        <v>0.87279635680877132</v>
      </c>
      <c r="AY34">
        <f t="shared" si="2"/>
        <v>0.78551672112789417</v>
      </c>
      <c r="AZ34">
        <f t="shared" si="2"/>
        <v>0.70696504901510471</v>
      </c>
      <c r="BA34">
        <f t="shared" si="2"/>
        <v>0.63626854411359424</v>
      </c>
      <c r="BB34">
        <f t="shared" si="2"/>
        <v>0.57264168970223484</v>
      </c>
      <c r="BC34">
        <f t="shared" si="2"/>
        <v>0.51537752073201137</v>
      </c>
      <c r="BD34">
        <f t="shared" si="2"/>
        <v>0.46383976865881021</v>
      </c>
      <c r="BE34">
        <f t="shared" si="2"/>
        <v>0.41745579179292919</v>
      </c>
      <c r="BF34">
        <f t="shared" si="2"/>
        <v>0.37571021261363624</v>
      </c>
      <c r="BG34">
        <f t="shared" si="2"/>
        <v>0.33813919135227261</v>
      </c>
    </row>
    <row r="35" spans="2:59" x14ac:dyDescent="0.45">
      <c r="B35">
        <f>SUM(E35:BG35)</f>
        <v>99.695674727782915</v>
      </c>
      <c r="D35" t="s">
        <v>882</v>
      </c>
      <c r="E35">
        <f>E34*10%</f>
        <v>10</v>
      </c>
      <c r="F35">
        <f>F34*10%</f>
        <v>9</v>
      </c>
      <c r="G35">
        <f t="shared" ref="G35:S35" si="3">G34*10%</f>
        <v>8.1</v>
      </c>
      <c r="H35">
        <f t="shared" si="3"/>
        <v>7.2900000000000009</v>
      </c>
      <c r="I35">
        <f t="shared" si="3"/>
        <v>6.5609999999999999</v>
      </c>
      <c r="J35">
        <f t="shared" si="3"/>
        <v>5.9049000000000005</v>
      </c>
      <c r="K35">
        <f t="shared" si="3"/>
        <v>5.3144100000000005</v>
      </c>
      <c r="L35">
        <f t="shared" si="3"/>
        <v>4.7829690000000005</v>
      </c>
      <c r="M35">
        <f t="shared" si="3"/>
        <v>4.3046721000000003</v>
      </c>
      <c r="N35">
        <f t="shared" si="3"/>
        <v>3.8742048900000001</v>
      </c>
      <c r="O35">
        <f t="shared" si="3"/>
        <v>3.486784401</v>
      </c>
      <c r="P35">
        <f t="shared" si="3"/>
        <v>3.1381059608999999</v>
      </c>
      <c r="Q35">
        <f t="shared" si="3"/>
        <v>2.8242953648100002</v>
      </c>
      <c r="R35">
        <f t="shared" si="3"/>
        <v>2.5418658283290001</v>
      </c>
      <c r="S35">
        <f t="shared" si="3"/>
        <v>2.2876792454961001</v>
      </c>
      <c r="T35">
        <f t="shared" ref="T35" si="4">T34*10%</f>
        <v>2.05891132094649</v>
      </c>
      <c r="U35">
        <f t="shared" ref="U35" si="5">U34*10%</f>
        <v>1.8530201888518409</v>
      </c>
      <c r="V35">
        <f t="shared" ref="V35" si="6">V34*10%</f>
        <v>1.667718169966657</v>
      </c>
      <c r="W35">
        <f t="shared" ref="W35" si="7">W34*10%</f>
        <v>1.5009463529699913</v>
      </c>
      <c r="X35">
        <f t="shared" ref="X35" si="8">X34*10%</f>
        <v>1.3508517176729922</v>
      </c>
      <c r="Y35">
        <f t="shared" ref="Y35" si="9">Y34*10%</f>
        <v>1.215766545905693</v>
      </c>
      <c r="Z35">
        <f t="shared" ref="Z35" si="10">Z34*10%</f>
        <v>1.0941898913151238</v>
      </c>
      <c r="AA35">
        <f t="shared" ref="AA35" si="11">AA34*10%</f>
        <v>0.98477090218361141</v>
      </c>
      <c r="AB35">
        <f t="shared" ref="AB35" si="12">AB34*10%</f>
        <v>0.88629381196525037</v>
      </c>
      <c r="AC35">
        <f t="shared" ref="AC35" si="13">AC34*10%</f>
        <v>0.79766443076872529</v>
      </c>
      <c r="AD35">
        <f t="shared" ref="AD35" si="14">AD34*10%</f>
        <v>0.71789798769185276</v>
      </c>
      <c r="AE35">
        <f t="shared" ref="AE35" si="15">AE34*10%</f>
        <v>0.64610818892266753</v>
      </c>
      <c r="AF35">
        <f t="shared" ref="AF35" si="16">AF34*10%</f>
        <v>0.5814973700304007</v>
      </c>
      <c r="AG35">
        <f t="shared" ref="AG35" si="17">AG34*10%</f>
        <v>0.52334763302736065</v>
      </c>
      <c r="AH35">
        <f t="shared" ref="AH35" si="18">AH34*10%</f>
        <v>0.47101286972462458</v>
      </c>
      <c r="AI35">
        <f t="shared" ref="AI35" si="19">AI34*10%</f>
        <v>0.42391158275216212</v>
      </c>
      <c r="AJ35">
        <f t="shared" ref="AJ35" si="20">AJ34*10%</f>
        <v>0.3815204244769459</v>
      </c>
      <c r="AK35">
        <f t="shared" ref="AK35" si="21">AK34*10%</f>
        <v>0.34336838202925135</v>
      </c>
      <c r="AL35">
        <f t="shared" ref="AL35" si="22">AL34*10%</f>
        <v>0.30903154382632625</v>
      </c>
      <c r="AM35">
        <f t="shared" ref="AM35" si="23">AM34*10%</f>
        <v>0.27812838944369361</v>
      </c>
      <c r="AN35">
        <f t="shared" ref="AN35" si="24">AN34*10%</f>
        <v>0.25031555049932425</v>
      </c>
      <c r="AO35">
        <f t="shared" ref="AO35" si="25">AO34*10%</f>
        <v>0.22528399544939182</v>
      </c>
      <c r="AP35">
        <f t="shared" ref="AP35" si="26">AP34*10%</f>
        <v>0.20275559590445261</v>
      </c>
      <c r="AQ35">
        <f t="shared" ref="AQ35" si="27">AQ34*10%</f>
        <v>0.18248003631400733</v>
      </c>
      <c r="AR35">
        <f t="shared" ref="AR35" si="28">AR34*10%</f>
        <v>0.16423203268260661</v>
      </c>
      <c r="AS35">
        <f t="shared" ref="AS35" si="29">AS34*10%</f>
        <v>0.14780882941434595</v>
      </c>
      <c r="AT35">
        <f t="shared" ref="AT35" si="30">AT34*10%</f>
        <v>0.13302794647291136</v>
      </c>
      <c r="AU35">
        <f t="shared" ref="AU35" si="31">AU34*10%</f>
        <v>0.11972515182562021</v>
      </c>
      <c r="AV35">
        <f t="shared" ref="AV35" si="32">AV34*10%</f>
        <v>0.10775263664305819</v>
      </c>
      <c r="AW35">
        <f t="shared" ref="AW35" si="33">AW34*10%</f>
        <v>9.6977372978752363E-2</v>
      </c>
      <c r="AX35">
        <f t="shared" ref="AX35" si="34">AX34*10%</f>
        <v>8.7279635680877141E-2</v>
      </c>
      <c r="AY35">
        <f t="shared" ref="AY35" si="35">AY34*10%</f>
        <v>7.855167211278942E-2</v>
      </c>
      <c r="AZ35">
        <f t="shared" ref="AZ35" si="36">AZ34*10%</f>
        <v>7.0696504901510471E-2</v>
      </c>
      <c r="BA35">
        <f t="shared" ref="BA35" si="37">BA34*10%</f>
        <v>6.3626854411359429E-2</v>
      </c>
      <c r="BB35">
        <f t="shared" ref="BB35" si="38">BB34*10%</f>
        <v>5.7264168970223489E-2</v>
      </c>
      <c r="BC35">
        <f t="shared" ref="BC35" si="39">BC34*10%</f>
        <v>5.1537752073201139E-2</v>
      </c>
      <c r="BD35">
        <f t="shared" ref="BD35" si="40">BD34*10%</f>
        <v>4.6383976865881027E-2</v>
      </c>
      <c r="BE35">
        <f t="shared" ref="BE35" si="41">BE34*10%</f>
        <v>4.1745579179292919E-2</v>
      </c>
      <c r="BF35">
        <f t="shared" ref="BF35" si="42">BF34*10%</f>
        <v>3.7571021261363628E-2</v>
      </c>
      <c r="BG35">
        <f t="shared" ref="BG35" si="43">BG34*10%</f>
        <v>3.3813919135227265E-2</v>
      </c>
    </row>
    <row r="36" spans="2:59" x14ac:dyDescent="0.45">
      <c r="D36" t="s">
        <v>900</v>
      </c>
      <c r="E36">
        <f>E34-E35</f>
        <v>90</v>
      </c>
      <c r="F36">
        <f>F34-F35</f>
        <v>81</v>
      </c>
      <c r="G36">
        <f t="shared" ref="G36:S36" si="44">G34-G35</f>
        <v>72.900000000000006</v>
      </c>
      <c r="H36">
        <f t="shared" si="44"/>
        <v>65.61</v>
      </c>
      <c r="I36">
        <f t="shared" si="44"/>
        <v>59.048999999999999</v>
      </c>
      <c r="J36">
        <f t="shared" si="44"/>
        <v>53.144100000000002</v>
      </c>
      <c r="K36">
        <f t="shared" si="44"/>
        <v>47.829689999999999</v>
      </c>
      <c r="L36">
        <f t="shared" si="44"/>
        <v>43.046720999999998</v>
      </c>
      <c r="M36">
        <f t="shared" si="44"/>
        <v>38.7420489</v>
      </c>
      <c r="N36">
        <f t="shared" si="44"/>
        <v>34.867844009999999</v>
      </c>
      <c r="O36">
        <f t="shared" si="44"/>
        <v>31.381059608999998</v>
      </c>
      <c r="P36">
        <f t="shared" si="44"/>
        <v>28.242953648099999</v>
      </c>
      <c r="Q36">
        <f t="shared" si="44"/>
        <v>25.41865828329</v>
      </c>
      <c r="R36">
        <f t="shared" si="44"/>
        <v>22.876792454960999</v>
      </c>
      <c r="S36">
        <f t="shared" si="44"/>
        <v>20.589113209464898</v>
      </c>
      <c r="T36">
        <f t="shared" ref="T36" si="45">T34-T35</f>
        <v>18.530201888518409</v>
      </c>
      <c r="U36">
        <f t="shared" ref="U36" si="46">U34-U35</f>
        <v>16.677181699666569</v>
      </c>
      <c r="V36">
        <f t="shared" ref="V36" si="47">V34-V35</f>
        <v>15.009463529699913</v>
      </c>
      <c r="W36">
        <f t="shared" ref="W36" si="48">W34-W35</f>
        <v>13.508517176729921</v>
      </c>
      <c r="X36">
        <f t="shared" ref="X36" si="49">X34-X35</f>
        <v>12.157665459056929</v>
      </c>
      <c r="Y36">
        <f t="shared" ref="Y36" si="50">Y34-Y35</f>
        <v>10.941898913151237</v>
      </c>
      <c r="Z36">
        <f t="shared" ref="Z36" si="51">Z34-Z35</f>
        <v>9.8477090218361134</v>
      </c>
      <c r="AA36">
        <f t="shared" ref="AA36" si="52">AA34-AA35</f>
        <v>8.8629381196525028</v>
      </c>
      <c r="AB36">
        <f t="shared" ref="AB36" si="53">AB34-AB35</f>
        <v>7.976644307687252</v>
      </c>
      <c r="AC36">
        <f t="shared" ref="AC36" si="54">AC34-AC35</f>
        <v>7.1789798769185271</v>
      </c>
      <c r="AD36">
        <f t="shared" ref="AD36" si="55">AD34-AD35</f>
        <v>6.4610818892266746</v>
      </c>
      <c r="AE36">
        <f t="shared" ref="AE36" si="56">AE34-AE35</f>
        <v>5.814973700304007</v>
      </c>
      <c r="AF36">
        <f t="shared" ref="AF36" si="57">AF34-AF35</f>
        <v>5.2334763302736063</v>
      </c>
      <c r="AG36">
        <f t="shared" ref="AG36" si="58">AG34-AG35</f>
        <v>4.7101286972462457</v>
      </c>
      <c r="AH36">
        <f t="shared" ref="AH36" si="59">AH34-AH35</f>
        <v>4.239115827521621</v>
      </c>
      <c r="AI36">
        <f t="shared" ref="AI36" si="60">AI34-AI35</f>
        <v>3.815204244769459</v>
      </c>
      <c r="AJ36">
        <f t="shared" ref="AJ36" si="61">AJ34-AJ35</f>
        <v>3.4336838202925133</v>
      </c>
      <c r="AK36">
        <f t="shared" ref="AK36" si="62">AK34-AK35</f>
        <v>3.090315438263262</v>
      </c>
      <c r="AL36">
        <f t="shared" ref="AL36" si="63">AL34-AL35</f>
        <v>2.7812838944369358</v>
      </c>
      <c r="AM36">
        <f t="shared" ref="AM36" si="64">AM34-AM35</f>
        <v>2.5031555049932424</v>
      </c>
      <c r="AN36">
        <f t="shared" ref="AN36" si="65">AN34-AN35</f>
        <v>2.2528399544939179</v>
      </c>
      <c r="AO36">
        <f t="shared" ref="AO36" si="66">AO34-AO35</f>
        <v>2.027555959044526</v>
      </c>
      <c r="AP36">
        <f t="shared" ref="AP36" si="67">AP34-AP35</f>
        <v>1.8248003631400733</v>
      </c>
      <c r="AQ36">
        <f t="shared" ref="AQ36" si="68">AQ34-AQ35</f>
        <v>1.642320326826066</v>
      </c>
      <c r="AR36">
        <f t="shared" ref="AR36" si="69">AR34-AR35</f>
        <v>1.4780882941434594</v>
      </c>
      <c r="AS36">
        <f t="shared" ref="AS36" si="70">AS34-AS35</f>
        <v>1.3302794647291134</v>
      </c>
      <c r="AT36">
        <f t="shared" ref="AT36" si="71">AT34-AT35</f>
        <v>1.197251518256202</v>
      </c>
      <c r="AU36">
        <f t="shared" ref="AU36" si="72">AU34-AU35</f>
        <v>1.0775263664305819</v>
      </c>
      <c r="AV36">
        <f t="shared" ref="AV36" si="73">AV34-AV35</f>
        <v>0.96977372978752363</v>
      </c>
      <c r="AW36">
        <f t="shared" ref="AW36" si="74">AW34-AW35</f>
        <v>0.87279635680877132</v>
      </c>
      <c r="AX36">
        <f t="shared" ref="AX36" si="75">AX34-AX35</f>
        <v>0.78551672112789417</v>
      </c>
      <c r="AY36">
        <f t="shared" ref="AY36" si="76">AY34-AY35</f>
        <v>0.70696504901510471</v>
      </c>
      <c r="AZ36">
        <f t="shared" ref="AZ36" si="77">AZ34-AZ35</f>
        <v>0.63626854411359424</v>
      </c>
      <c r="BA36">
        <f t="shared" ref="BA36" si="78">BA34-BA35</f>
        <v>0.57264168970223484</v>
      </c>
      <c r="BB36">
        <f t="shared" ref="BB36" si="79">BB34-BB35</f>
        <v>0.51537752073201137</v>
      </c>
      <c r="BC36">
        <f t="shared" ref="BC36" si="80">BC34-BC35</f>
        <v>0.46383976865881021</v>
      </c>
      <c r="BD36">
        <f t="shared" ref="BD36" si="81">BD34-BD35</f>
        <v>0.41745579179292919</v>
      </c>
      <c r="BE36">
        <f t="shared" ref="BE36" si="82">BE34-BE35</f>
        <v>0.37571021261363624</v>
      </c>
      <c r="BF36">
        <f t="shared" ref="BF36" si="83">BF34-BF35</f>
        <v>0.33813919135227261</v>
      </c>
      <c r="BG36">
        <f t="shared" ref="BG36" si="84">BG34-BG35</f>
        <v>0.30432527221704536</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CA868A-C1FD-43D8-BB76-7A6A827D116E}">
  <sheetPr codeName="Sheet9"/>
  <dimension ref="A1:U51"/>
  <sheetViews>
    <sheetView showGridLines="0" zoomScale="94" zoomScaleNormal="162" workbookViewId="0">
      <selection activeCell="A42" sqref="A42"/>
    </sheetView>
  </sheetViews>
  <sheetFormatPr defaultColWidth="8.86328125" defaultRowHeight="12.75" outlineLevelRow="1" x14ac:dyDescent="0.35"/>
  <cols>
    <col min="1" max="1" width="15.796875" style="3" customWidth="1"/>
    <col min="2" max="2" width="12.796875" style="3" customWidth="1"/>
    <col min="3" max="3" width="20.6640625" style="3" customWidth="1"/>
    <col min="4" max="5" width="20.6640625" style="3" hidden="1" customWidth="1"/>
    <col min="6" max="6" width="8.86328125" style="3"/>
    <col min="7" max="10" width="20.796875" style="3" customWidth="1"/>
    <col min="11" max="11" width="8.86328125" style="3"/>
    <col min="12" max="12" width="10.1328125" style="3" bestFit="1" customWidth="1"/>
    <col min="13" max="16384" width="8.86328125" style="3"/>
  </cols>
  <sheetData>
    <row r="1" spans="1:12" ht="13.9" x14ac:dyDescent="0.4">
      <c r="A1" s="1" t="s">
        <v>392</v>
      </c>
    </row>
    <row r="3" spans="1:12" x14ac:dyDescent="0.35">
      <c r="H3" s="115"/>
      <c r="I3" s="115"/>
      <c r="J3" s="115"/>
      <c r="K3" s="115"/>
    </row>
    <row r="4" spans="1:12" x14ac:dyDescent="0.35">
      <c r="A4" s="43"/>
      <c r="H4" s="115"/>
      <c r="I4" s="115"/>
      <c r="J4" s="115"/>
      <c r="K4" s="115"/>
    </row>
    <row r="5" spans="1:12" ht="13.15" x14ac:dyDescent="0.4">
      <c r="A5" s="4" t="s">
        <v>393</v>
      </c>
      <c r="B5" s="37" t="s">
        <v>394</v>
      </c>
      <c r="C5" s="116" t="s">
        <v>857</v>
      </c>
      <c r="D5" s="116" t="s">
        <v>859</v>
      </c>
      <c r="E5" s="116" t="s">
        <v>858</v>
      </c>
      <c r="G5" s="117"/>
      <c r="H5" s="115"/>
      <c r="I5" s="115"/>
      <c r="J5" s="115"/>
      <c r="K5" s="115"/>
      <c r="L5" s="118"/>
    </row>
    <row r="6" spans="1:12" x14ac:dyDescent="0.35">
      <c r="A6" s="119" t="s">
        <v>395</v>
      </c>
      <c r="B6" s="120">
        <v>364</v>
      </c>
      <c r="C6" s="121"/>
      <c r="D6" s="121"/>
      <c r="E6" s="121"/>
      <c r="F6" s="122"/>
      <c r="G6" s="122"/>
      <c r="H6" s="115"/>
      <c r="I6" s="115"/>
      <c r="J6" s="115"/>
      <c r="K6" s="115"/>
      <c r="L6" s="118"/>
    </row>
    <row r="7" spans="1:12" x14ac:dyDescent="0.35">
      <c r="A7" s="119" t="s">
        <v>396</v>
      </c>
      <c r="B7" s="120">
        <v>53</v>
      </c>
      <c r="C7" s="121"/>
      <c r="D7" s="121"/>
      <c r="E7" s="121"/>
      <c r="F7" s="122"/>
      <c r="G7" s="122"/>
      <c r="H7" s="115"/>
      <c r="I7" s="115"/>
      <c r="J7" s="115"/>
      <c r="K7" s="115"/>
      <c r="L7" s="118"/>
    </row>
    <row r="8" spans="1:12" x14ac:dyDescent="0.35">
      <c r="A8" s="329" t="s">
        <v>397</v>
      </c>
      <c r="B8" s="330">
        <v>366</v>
      </c>
      <c r="C8" s="121"/>
      <c r="D8" s="121"/>
      <c r="E8" s="121"/>
      <c r="F8" s="122"/>
      <c r="G8" s="122"/>
      <c r="H8" s="115"/>
      <c r="I8" s="123"/>
      <c r="K8" s="115"/>
    </row>
    <row r="9" spans="1:12" x14ac:dyDescent="0.35">
      <c r="A9" s="119" t="s">
        <v>398</v>
      </c>
      <c r="B9" s="120">
        <v>529</v>
      </c>
      <c r="C9" s="121"/>
      <c r="D9" s="121"/>
      <c r="E9" s="121"/>
      <c r="F9" s="122"/>
      <c r="G9" s="122"/>
      <c r="H9" s="115"/>
      <c r="I9" s="115"/>
      <c r="L9" s="123"/>
    </row>
    <row r="10" spans="1:12" x14ac:dyDescent="0.35">
      <c r="A10" s="119" t="s">
        <v>399</v>
      </c>
      <c r="B10" s="120">
        <v>388</v>
      </c>
      <c r="C10" s="121"/>
      <c r="D10" s="121"/>
      <c r="E10" s="121"/>
      <c r="F10" s="122"/>
      <c r="G10" s="122"/>
      <c r="H10" s="53"/>
      <c r="L10" s="123"/>
    </row>
    <row r="11" spans="1:12" x14ac:dyDescent="0.35">
      <c r="A11" s="119" t="s">
        <v>400</v>
      </c>
      <c r="B11" s="120">
        <v>939</v>
      </c>
      <c r="C11" s="121"/>
      <c r="D11" s="121"/>
      <c r="E11" s="121"/>
      <c r="F11" s="122"/>
      <c r="G11" s="122"/>
      <c r="H11" s="123"/>
      <c r="L11" s="123"/>
    </row>
    <row r="12" spans="1:12" x14ac:dyDescent="0.35">
      <c r="A12" s="119" t="s">
        <v>401</v>
      </c>
      <c r="B12" s="120">
        <v>62</v>
      </c>
      <c r="C12" s="121"/>
      <c r="D12" s="121"/>
      <c r="E12" s="121"/>
      <c r="F12" s="122"/>
      <c r="L12" s="124"/>
    </row>
    <row r="13" spans="1:12" ht="13.15" x14ac:dyDescent="0.4">
      <c r="A13" s="119" t="s">
        <v>402</v>
      </c>
      <c r="B13" s="120">
        <v>1</v>
      </c>
      <c r="C13" s="121"/>
      <c r="D13" s="121"/>
      <c r="E13" s="121"/>
      <c r="F13" s="122"/>
      <c r="G13" s="4" t="s">
        <v>403</v>
      </c>
      <c r="H13" s="4" t="s">
        <v>404</v>
      </c>
      <c r="I13" s="4" t="s">
        <v>405</v>
      </c>
    </row>
    <row r="14" spans="1:12" x14ac:dyDescent="0.35">
      <c r="A14" s="119" t="s">
        <v>406</v>
      </c>
      <c r="B14" s="120">
        <v>276</v>
      </c>
      <c r="C14" s="121"/>
      <c r="D14" s="121"/>
      <c r="E14" s="121"/>
      <c r="F14" s="122"/>
      <c r="G14" s="125">
        <v>0</v>
      </c>
      <c r="H14" s="126">
        <v>180</v>
      </c>
      <c r="I14" s="127" t="s">
        <v>407</v>
      </c>
    </row>
    <row r="15" spans="1:12" x14ac:dyDescent="0.35">
      <c r="A15" s="119" t="s">
        <v>408</v>
      </c>
      <c r="B15" s="120">
        <v>358</v>
      </c>
      <c r="C15" s="121"/>
      <c r="D15" s="121"/>
      <c r="E15" s="121"/>
      <c r="F15" s="122"/>
      <c r="G15" s="128">
        <v>181</v>
      </c>
      <c r="H15" s="126">
        <v>365</v>
      </c>
      <c r="I15" s="127" t="s">
        <v>409</v>
      </c>
    </row>
    <row r="16" spans="1:12" x14ac:dyDescent="0.35">
      <c r="A16" s="119" t="s">
        <v>410</v>
      </c>
      <c r="B16" s="120">
        <v>595</v>
      </c>
      <c r="C16" s="121"/>
      <c r="D16" s="121"/>
      <c r="E16" s="121"/>
      <c r="F16" s="122"/>
      <c r="G16" s="128">
        <v>366</v>
      </c>
      <c r="H16" s="126">
        <v>730</v>
      </c>
      <c r="I16" s="127" t="s">
        <v>411</v>
      </c>
    </row>
    <row r="17" spans="1:21" x14ac:dyDescent="0.35">
      <c r="A17" s="329" t="s">
        <v>412</v>
      </c>
      <c r="B17" s="330">
        <v>181</v>
      </c>
      <c r="C17" s="121"/>
      <c r="D17" s="121"/>
      <c r="E17" s="121"/>
      <c r="F17" s="122"/>
      <c r="G17" s="128">
        <v>731</v>
      </c>
      <c r="H17" s="128">
        <v>9999</v>
      </c>
      <c r="I17" s="127" t="s">
        <v>413</v>
      </c>
      <c r="J17" s="129"/>
    </row>
    <row r="18" spans="1:21" x14ac:dyDescent="0.35">
      <c r="A18" s="119" t="s">
        <v>414</v>
      </c>
      <c r="B18" s="120">
        <v>1432</v>
      </c>
      <c r="C18" s="121"/>
      <c r="D18" s="121"/>
      <c r="E18" s="121"/>
      <c r="F18" s="122"/>
      <c r="G18" s="122"/>
    </row>
    <row r="19" spans="1:21" x14ac:dyDescent="0.35">
      <c r="A19" s="119" t="s">
        <v>415</v>
      </c>
      <c r="B19" s="120">
        <v>651</v>
      </c>
      <c r="C19" s="121"/>
      <c r="D19" s="121"/>
      <c r="E19" s="121"/>
      <c r="F19" s="122"/>
      <c r="G19" s="122" t="s">
        <v>416</v>
      </c>
      <c r="H19" s="356" t="s">
        <v>873</v>
      </c>
      <c r="I19" s="3">
        <f>VLOOKUP(G19,A20:C20,3,0)</f>
        <v>0</v>
      </c>
    </row>
    <row r="20" spans="1:21" x14ac:dyDescent="0.35">
      <c r="A20" s="354" t="s">
        <v>416</v>
      </c>
      <c r="B20" s="355">
        <v>731</v>
      </c>
      <c r="C20" s="121"/>
      <c r="D20" s="121"/>
      <c r="E20" s="121"/>
      <c r="F20" s="122"/>
      <c r="G20" s="122"/>
    </row>
    <row r="22" spans="1:21" s="130" customFormat="1" ht="4.05" customHeight="1" x14ac:dyDescent="0.35"/>
    <row r="24" spans="1:21" x14ac:dyDescent="0.35">
      <c r="G24" s="293"/>
    </row>
    <row r="25" spans="1:21" ht="13.15" x14ac:dyDescent="0.4">
      <c r="A25" s="4" t="s">
        <v>417</v>
      </c>
      <c r="B25" s="131" t="s">
        <v>418</v>
      </c>
    </row>
    <row r="26" spans="1:21" x14ac:dyDescent="0.35">
      <c r="A26" s="132" t="s">
        <v>419</v>
      </c>
      <c r="B26" s="133">
        <v>232000</v>
      </c>
      <c r="E26" s="3" t="str">
        <f>TEXT(G26,0)</f>
        <v>140052005</v>
      </c>
      <c r="G26" s="357" t="s">
        <v>422</v>
      </c>
      <c r="H26" s="134">
        <f>VLOOKUP(G26,A25:B29,2,0)</f>
        <v>10000</v>
      </c>
      <c r="I26" s="134">
        <f>_xlfn.XLOOKUP(G26,A26:A29,B26:B29,"na",0)</f>
        <v>10000</v>
      </c>
      <c r="U26" s="3">
        <f>VALUE(S26)</f>
        <v>0</v>
      </c>
    </row>
    <row r="27" spans="1:21" x14ac:dyDescent="0.35">
      <c r="A27" s="132" t="s">
        <v>420</v>
      </c>
      <c r="B27" s="133">
        <v>41000</v>
      </c>
    </row>
    <row r="28" spans="1:21" x14ac:dyDescent="0.35">
      <c r="A28" s="135" t="s">
        <v>421</v>
      </c>
      <c r="B28" s="133">
        <v>500000</v>
      </c>
    </row>
    <row r="29" spans="1:21" x14ac:dyDescent="0.35">
      <c r="A29" s="136" t="s">
        <v>422</v>
      </c>
      <c r="B29" s="133">
        <v>10000</v>
      </c>
      <c r="F29" s="356" t="s">
        <v>875</v>
      </c>
      <c r="G29" s="356" t="s">
        <v>874</v>
      </c>
      <c r="H29" s="3" t="b">
        <f>ISNUMBER(G29)</f>
        <v>0</v>
      </c>
      <c r="I29" s="3" t="str" cm="1">
        <f t="array" ref="I29:K29">_xlfn.TEXTSPLIT(G29,"-")</f>
        <v>12</v>
      </c>
      <c r="J29" s="3" t="str">
        <v>31</v>
      </c>
      <c r="K29" s="3" t="str">
        <v>1996</v>
      </c>
      <c r="L29" s="117"/>
    </row>
    <row r="30" spans="1:21" x14ac:dyDescent="0.35">
      <c r="F30" s="356" t="s">
        <v>876</v>
      </c>
      <c r="G30" s="358">
        <v>35430</v>
      </c>
      <c r="H30" s="3" t="b">
        <f>ISNUMBER(G30)</f>
        <v>1</v>
      </c>
    </row>
    <row r="31" spans="1:21" ht="13.15" thickBot="1" x14ac:dyDescent="0.4"/>
    <row r="32" spans="1:21" ht="13.5" thickBot="1" x14ac:dyDescent="0.45">
      <c r="B32" s="10" t="s">
        <v>10</v>
      </c>
      <c r="C32" s="11"/>
      <c r="D32" s="11"/>
      <c r="E32" s="11"/>
      <c r="F32" s="11"/>
      <c r="G32" s="12"/>
    </row>
    <row r="33" spans="2:7" outlineLevel="1" x14ac:dyDescent="0.35">
      <c r="B33" s="13"/>
      <c r="G33" s="14"/>
    </row>
    <row r="34" spans="2:7" s="57" customFormat="1" ht="13.15" outlineLevel="1" x14ac:dyDescent="0.4">
      <c r="B34" s="47" t="s">
        <v>423</v>
      </c>
      <c r="G34" s="217"/>
    </row>
    <row r="35" spans="2:7" s="57" customFormat="1" ht="13.15" outlineLevel="1" x14ac:dyDescent="0.4">
      <c r="B35" s="47" t="s">
        <v>424</v>
      </c>
      <c r="G35" s="217"/>
    </row>
    <row r="36" spans="2:7" s="57" customFormat="1" ht="13.15" outlineLevel="1" x14ac:dyDescent="0.4">
      <c r="B36" s="47" t="s">
        <v>425</v>
      </c>
      <c r="G36" s="217"/>
    </row>
    <row r="37" spans="2:7" s="57" customFormat="1" ht="13.15" outlineLevel="1" x14ac:dyDescent="0.4">
      <c r="B37" s="47" t="s">
        <v>426</v>
      </c>
      <c r="G37" s="217"/>
    </row>
    <row r="38" spans="2:7" s="57" customFormat="1" ht="13.15" outlineLevel="1" x14ac:dyDescent="0.4">
      <c r="B38" s="47" t="s">
        <v>427</v>
      </c>
      <c r="G38" s="217"/>
    </row>
    <row r="39" spans="2:7" s="57" customFormat="1" ht="13.15" outlineLevel="1" x14ac:dyDescent="0.4">
      <c r="B39" s="47" t="s">
        <v>428</v>
      </c>
      <c r="G39" s="217"/>
    </row>
    <row r="40" spans="2:7" s="57" customFormat="1" ht="13.15" outlineLevel="1" x14ac:dyDescent="0.4">
      <c r="B40" s="47" t="s">
        <v>429</v>
      </c>
      <c r="G40" s="217"/>
    </row>
    <row r="41" spans="2:7" s="57" customFormat="1" ht="13.15" outlineLevel="1" x14ac:dyDescent="0.4">
      <c r="B41" s="47" t="s">
        <v>430</v>
      </c>
      <c r="G41" s="217"/>
    </row>
    <row r="42" spans="2:7" s="57" customFormat="1" ht="13.15" outlineLevel="1" x14ac:dyDescent="0.4">
      <c r="B42" s="47" t="s">
        <v>431</v>
      </c>
      <c r="G42" s="217"/>
    </row>
    <row r="43" spans="2:7" ht="13.15" outlineLevel="1" thickBot="1" x14ac:dyDescent="0.4">
      <c r="B43" s="15"/>
      <c r="C43" s="16"/>
      <c r="D43" s="16"/>
      <c r="E43" s="16"/>
      <c r="F43" s="16"/>
      <c r="G43" s="17"/>
    </row>
    <row r="47" spans="2:7" x14ac:dyDescent="0.35">
      <c r="B47" s="293" t="s">
        <v>860</v>
      </c>
    </row>
    <row r="48" spans="2:7" x14ac:dyDescent="0.35">
      <c r="B48" s="293" t="s">
        <v>861</v>
      </c>
    </row>
    <row r="51" spans="2:2" x14ac:dyDescent="0.35">
      <c r="B51" s="293" t="s">
        <v>862</v>
      </c>
    </row>
  </sheetData>
  <autoFilter ref="G13:I17" xr:uid="{C2CA868A-C1FD-43D8-BB76-7A6A827D116E}"/>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8C422-01A1-4C02-941C-6009EE667E70}">
  <sheetPr codeName="Sheet13"/>
  <dimension ref="A1:G24"/>
  <sheetViews>
    <sheetView showGridLines="0" zoomScale="130" zoomScaleNormal="130" workbookViewId="0">
      <selection activeCell="B3" sqref="B3:C10"/>
    </sheetView>
  </sheetViews>
  <sheetFormatPr defaultColWidth="8.86328125" defaultRowHeight="12.75" outlineLevelRow="1" x14ac:dyDescent="0.35"/>
  <cols>
    <col min="1" max="1" width="8.86328125" style="3"/>
    <col min="2" max="2" width="10.33203125" style="3" bestFit="1" customWidth="1"/>
    <col min="3" max="3" width="40.796875" style="3" customWidth="1"/>
    <col min="4" max="5" width="20.796875" style="3" customWidth="1"/>
    <col min="6" max="16384" width="8.86328125" style="3"/>
  </cols>
  <sheetData>
    <row r="1" spans="1:7" ht="13.9" x14ac:dyDescent="0.4">
      <c r="A1" s="1" t="s">
        <v>452</v>
      </c>
    </row>
    <row r="3" spans="1:7" ht="13.15" x14ac:dyDescent="0.4">
      <c r="B3" s="149" t="s">
        <v>453</v>
      </c>
      <c r="C3" s="149" t="s">
        <v>454</v>
      </c>
      <c r="D3" s="150" t="s">
        <v>455</v>
      </c>
      <c r="E3" s="150" t="s">
        <v>456</v>
      </c>
    </row>
    <row r="4" spans="1:7" x14ac:dyDescent="0.35">
      <c r="B4" s="151">
        <v>45082</v>
      </c>
      <c r="C4" s="152" t="s">
        <v>457</v>
      </c>
      <c r="D4" s="153">
        <v>1000</v>
      </c>
      <c r="E4" s="153">
        <f>D4/(LEN(C4)-LEN(SUBSTITUTE(C4,CHAR(44),""))+1)</f>
        <v>250</v>
      </c>
      <c r="F4" s="3">
        <f>--NOT(ISERROR(FIND($D$12,C4)))</f>
        <v>0</v>
      </c>
    </row>
    <row r="5" spans="1:7" x14ac:dyDescent="0.35">
      <c r="B5" s="151">
        <v>45084</v>
      </c>
      <c r="C5" s="152" t="s">
        <v>458</v>
      </c>
      <c r="D5" s="153">
        <v>1313</v>
      </c>
      <c r="E5" s="153">
        <f t="shared" ref="E5:E10" si="0">D5/(LEN(C5)-LEN(SUBSTITUTE(C5,CHAR(44),""))+1)</f>
        <v>328.25</v>
      </c>
      <c r="F5" s="3">
        <f t="shared" ref="F5:F10" si="1">--NOT(ISERROR(FIND($D$12,C5)))</f>
        <v>0</v>
      </c>
    </row>
    <row r="6" spans="1:7" x14ac:dyDescent="0.35">
      <c r="B6" s="151">
        <v>45086</v>
      </c>
      <c r="C6" s="152" t="s">
        <v>459</v>
      </c>
      <c r="D6" s="153">
        <v>1376</v>
      </c>
      <c r="E6" s="153">
        <f t="shared" si="0"/>
        <v>458.66666666666669</v>
      </c>
      <c r="F6" s="3">
        <f t="shared" si="1"/>
        <v>0</v>
      </c>
    </row>
    <row r="7" spans="1:7" x14ac:dyDescent="0.35">
      <c r="B7" s="151">
        <v>45088</v>
      </c>
      <c r="C7" s="152" t="s">
        <v>460</v>
      </c>
      <c r="D7" s="153">
        <v>1440</v>
      </c>
      <c r="E7" s="153">
        <f t="shared" si="0"/>
        <v>360</v>
      </c>
      <c r="F7" s="3">
        <f t="shared" si="1"/>
        <v>0</v>
      </c>
    </row>
    <row r="8" spans="1:7" x14ac:dyDescent="0.35">
      <c r="B8" s="151">
        <v>45090</v>
      </c>
      <c r="C8" s="152" t="s">
        <v>461</v>
      </c>
      <c r="D8" s="153">
        <v>5432</v>
      </c>
      <c r="E8" s="153">
        <f t="shared" si="0"/>
        <v>1810.6666666666667</v>
      </c>
      <c r="F8" s="3">
        <f t="shared" si="1"/>
        <v>0</v>
      </c>
    </row>
    <row r="9" spans="1:7" x14ac:dyDescent="0.35">
      <c r="B9" s="151">
        <v>45092</v>
      </c>
      <c r="C9" s="152" t="s">
        <v>462</v>
      </c>
      <c r="D9" s="153">
        <v>12347</v>
      </c>
      <c r="E9" s="153">
        <f t="shared" si="0"/>
        <v>2469.4</v>
      </c>
      <c r="F9" s="3">
        <f t="shared" si="1"/>
        <v>1</v>
      </c>
    </row>
    <row r="10" spans="1:7" x14ac:dyDescent="0.35">
      <c r="B10" s="151">
        <v>45094</v>
      </c>
      <c r="C10" s="152" t="s">
        <v>463</v>
      </c>
      <c r="D10" s="153">
        <v>1476</v>
      </c>
      <c r="E10" s="153">
        <f t="shared" si="0"/>
        <v>492</v>
      </c>
      <c r="F10" s="3">
        <f t="shared" si="1"/>
        <v>0</v>
      </c>
    </row>
    <row r="12" spans="1:7" x14ac:dyDescent="0.35">
      <c r="D12" s="237" t="s">
        <v>650</v>
      </c>
      <c r="E12" s="3">
        <f>SUMIFS(E4:E10,F4:F10,1)</f>
        <v>2469.4</v>
      </c>
    </row>
    <row r="13" spans="1:7" x14ac:dyDescent="0.35">
      <c r="E13" s="3">
        <f>492+459+328</f>
        <v>1279</v>
      </c>
    </row>
    <row r="15" spans="1:7" ht="13.15" thickBot="1" x14ac:dyDescent="0.4">
      <c r="B15" s="45"/>
    </row>
    <row r="16" spans="1:7" ht="13.5" thickBot="1" x14ac:dyDescent="0.45">
      <c r="B16" s="10" t="s">
        <v>10</v>
      </c>
      <c r="C16" s="11"/>
      <c r="D16" s="11"/>
      <c r="E16" s="11"/>
      <c r="F16" s="11"/>
      <c r="G16" s="12"/>
    </row>
    <row r="17" spans="2:7" outlineLevel="1" x14ac:dyDescent="0.35">
      <c r="B17" s="13"/>
      <c r="G17" s="14"/>
    </row>
    <row r="18" spans="2:7" outlineLevel="1" x14ac:dyDescent="0.35">
      <c r="B18" s="13" t="s">
        <v>464</v>
      </c>
      <c r="G18" s="14"/>
    </row>
    <row r="19" spans="2:7" outlineLevel="1" x14ac:dyDescent="0.35">
      <c r="B19" s="13" t="s">
        <v>465</v>
      </c>
      <c r="G19" s="14"/>
    </row>
    <row r="20" spans="2:7" outlineLevel="1" x14ac:dyDescent="0.35">
      <c r="B20" s="13" t="s">
        <v>466</v>
      </c>
      <c r="G20" s="14"/>
    </row>
    <row r="21" spans="2:7" outlineLevel="1" x14ac:dyDescent="0.35">
      <c r="B21" s="13" t="s">
        <v>467</v>
      </c>
      <c r="G21" s="14"/>
    </row>
    <row r="22" spans="2:7" outlineLevel="1" x14ac:dyDescent="0.35">
      <c r="B22" s="13" t="s">
        <v>468</v>
      </c>
      <c r="G22" s="14"/>
    </row>
    <row r="23" spans="2:7" outlineLevel="1" x14ac:dyDescent="0.35">
      <c r="B23" s="13" t="s">
        <v>469</v>
      </c>
      <c r="G23" s="14"/>
    </row>
    <row r="24" spans="2:7" ht="13.15" outlineLevel="1" thickBot="1" x14ac:dyDescent="0.4">
      <c r="B24" s="15"/>
      <c r="C24" s="16"/>
      <c r="D24" s="16"/>
      <c r="E24" s="16"/>
      <c r="F24" s="16"/>
      <c r="G24" s="17"/>
    </row>
  </sheetData>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FDDA-42DF-4291-8934-AE59B4477271}">
  <sheetPr codeName="Sheet10"/>
  <dimension ref="A1:V50"/>
  <sheetViews>
    <sheetView showGridLines="0" zoomScale="85" zoomScaleNormal="85" workbookViewId="0">
      <selection activeCell="E16" sqref="E16:E31"/>
    </sheetView>
  </sheetViews>
  <sheetFormatPr defaultColWidth="8.86328125" defaultRowHeight="12.75" outlineLevelRow="1" x14ac:dyDescent="0.35"/>
  <cols>
    <col min="1" max="1" width="15.796875" style="81" customWidth="1"/>
    <col min="2" max="13" width="10.796875" style="81" customWidth="1"/>
    <col min="14" max="16384" width="8.86328125" style="81"/>
  </cols>
  <sheetData>
    <row r="1" spans="1:22" s="76" customFormat="1" ht="13.9" x14ac:dyDescent="0.35">
      <c r="A1" s="74" t="s">
        <v>369</v>
      </c>
      <c r="B1" s="75"/>
      <c r="C1" s="75"/>
      <c r="D1" s="75"/>
    </row>
    <row r="4" spans="1:22" ht="13.15" x14ac:dyDescent="0.35">
      <c r="A4" s="77" t="s">
        <v>370</v>
      </c>
      <c r="B4" s="78" t="s">
        <v>371</v>
      </c>
      <c r="C4" s="78" t="s">
        <v>371</v>
      </c>
      <c r="D4" s="79" t="s">
        <v>371</v>
      </c>
      <c r="E4" s="78" t="s">
        <v>372</v>
      </c>
      <c r="F4" s="78" t="s">
        <v>372</v>
      </c>
      <c r="G4" s="79" t="s">
        <v>372</v>
      </c>
      <c r="H4" s="80" t="s">
        <v>224</v>
      </c>
      <c r="I4" s="78" t="s">
        <v>224</v>
      </c>
      <c r="J4" s="79" t="s">
        <v>224</v>
      </c>
      <c r="K4" s="78" t="s">
        <v>373</v>
      </c>
      <c r="L4" s="78" t="s">
        <v>373</v>
      </c>
      <c r="M4" s="79" t="s">
        <v>373</v>
      </c>
    </row>
    <row r="5" spans="1:22" ht="13.15" x14ac:dyDescent="0.35">
      <c r="A5" s="77" t="s">
        <v>374</v>
      </c>
      <c r="B5" s="82" t="s">
        <v>375</v>
      </c>
      <c r="C5" s="82" t="s">
        <v>376</v>
      </c>
      <c r="D5" s="83" t="s">
        <v>377</v>
      </c>
      <c r="E5" s="82" t="s">
        <v>375</v>
      </c>
      <c r="F5" s="82" t="s">
        <v>376</v>
      </c>
      <c r="G5" s="83" t="s">
        <v>377</v>
      </c>
      <c r="H5" s="84" t="s">
        <v>375</v>
      </c>
      <c r="I5" s="82" t="s">
        <v>376</v>
      </c>
      <c r="J5" s="83" t="s">
        <v>377</v>
      </c>
      <c r="K5" s="82" t="s">
        <v>375</v>
      </c>
      <c r="L5" s="82" t="s">
        <v>376</v>
      </c>
      <c r="M5" s="83" t="s">
        <v>377</v>
      </c>
    </row>
    <row r="6" spans="1:22" ht="13.15" x14ac:dyDescent="0.35">
      <c r="A6" s="85" t="s">
        <v>378</v>
      </c>
      <c r="B6" s="86">
        <v>67</v>
      </c>
      <c r="C6" s="86">
        <v>145</v>
      </c>
      <c r="D6" s="87">
        <v>254</v>
      </c>
      <c r="E6" s="86">
        <v>385</v>
      </c>
      <c r="F6" s="86">
        <v>419</v>
      </c>
      <c r="G6" s="87">
        <v>530</v>
      </c>
      <c r="H6" s="88">
        <v>666</v>
      </c>
      <c r="I6" s="86">
        <v>751</v>
      </c>
      <c r="J6" s="87">
        <v>852</v>
      </c>
      <c r="K6" s="86">
        <v>971</v>
      </c>
      <c r="L6" s="86">
        <v>1004</v>
      </c>
      <c r="M6" s="87">
        <v>1159</v>
      </c>
    </row>
    <row r="7" spans="1:22" ht="13.15" x14ac:dyDescent="0.35">
      <c r="A7" s="89" t="s">
        <v>379</v>
      </c>
      <c r="B7" s="86">
        <v>54</v>
      </c>
      <c r="C7" s="86">
        <v>190</v>
      </c>
      <c r="D7" s="87">
        <v>222</v>
      </c>
      <c r="E7" s="86">
        <v>366</v>
      </c>
      <c r="F7" s="86">
        <v>432</v>
      </c>
      <c r="G7" s="87">
        <v>510</v>
      </c>
      <c r="H7" s="86">
        <v>623</v>
      </c>
      <c r="I7" s="86">
        <v>790</v>
      </c>
      <c r="J7" s="87">
        <v>841</v>
      </c>
      <c r="K7" s="86">
        <v>926</v>
      </c>
      <c r="L7" s="86">
        <v>1033</v>
      </c>
      <c r="M7" s="87">
        <v>1155</v>
      </c>
    </row>
    <row r="8" spans="1:22" ht="13.15" x14ac:dyDescent="0.35">
      <c r="A8" s="89" t="s">
        <v>380</v>
      </c>
      <c r="B8" s="86">
        <v>10</v>
      </c>
      <c r="C8" s="86">
        <v>159</v>
      </c>
      <c r="D8" s="87">
        <v>240</v>
      </c>
      <c r="E8" s="86">
        <v>375</v>
      </c>
      <c r="F8" s="86">
        <v>449</v>
      </c>
      <c r="G8" s="87">
        <v>600</v>
      </c>
      <c r="H8" s="86">
        <v>621</v>
      </c>
      <c r="I8" s="86">
        <v>728</v>
      </c>
      <c r="J8" s="87">
        <v>817</v>
      </c>
      <c r="K8" s="86">
        <v>959</v>
      </c>
      <c r="L8" s="86">
        <v>1089</v>
      </c>
      <c r="M8" s="87">
        <v>1182</v>
      </c>
    </row>
    <row r="9" spans="1:22" ht="13.15" x14ac:dyDescent="0.35">
      <c r="A9" s="89" t="s">
        <v>275</v>
      </c>
      <c r="B9" s="86">
        <v>6</v>
      </c>
      <c r="C9" s="86">
        <v>116</v>
      </c>
      <c r="D9" s="87">
        <v>219</v>
      </c>
      <c r="E9" s="86">
        <v>354</v>
      </c>
      <c r="F9" s="86">
        <v>489</v>
      </c>
      <c r="G9" s="87">
        <v>565</v>
      </c>
      <c r="H9" s="86">
        <v>622</v>
      </c>
      <c r="I9" s="86">
        <v>741</v>
      </c>
      <c r="J9" s="87">
        <v>825</v>
      </c>
      <c r="K9" s="86">
        <v>958</v>
      </c>
      <c r="L9" s="90">
        <v>1080</v>
      </c>
      <c r="M9" s="87">
        <v>1182</v>
      </c>
    </row>
    <row r="10" spans="1:22" ht="13.15" x14ac:dyDescent="0.35">
      <c r="A10" s="89" t="s">
        <v>381</v>
      </c>
      <c r="B10" s="86">
        <v>63</v>
      </c>
      <c r="C10" s="86">
        <v>115</v>
      </c>
      <c r="D10" s="87">
        <v>298</v>
      </c>
      <c r="E10" s="86">
        <v>316</v>
      </c>
      <c r="F10" s="86">
        <v>470</v>
      </c>
      <c r="G10" s="87">
        <v>556</v>
      </c>
      <c r="H10" s="86">
        <v>695</v>
      </c>
      <c r="I10" s="86">
        <v>748</v>
      </c>
      <c r="J10" s="87">
        <v>834</v>
      </c>
      <c r="K10" s="86">
        <v>999</v>
      </c>
      <c r="L10" s="86">
        <v>1047</v>
      </c>
      <c r="M10" s="87">
        <v>1140</v>
      </c>
    </row>
    <row r="11" spans="1:22" ht="13.15" x14ac:dyDescent="0.35">
      <c r="A11" s="91" t="s">
        <v>235</v>
      </c>
      <c r="B11" s="92">
        <v>13</v>
      </c>
      <c r="C11" s="92">
        <v>168</v>
      </c>
      <c r="D11" s="93">
        <v>293</v>
      </c>
      <c r="E11" s="92">
        <v>331</v>
      </c>
      <c r="F11" s="92">
        <v>427</v>
      </c>
      <c r="G11" s="93">
        <v>535</v>
      </c>
      <c r="H11" s="92">
        <v>630</v>
      </c>
      <c r="I11" s="92">
        <v>727</v>
      </c>
      <c r="J11" s="93">
        <v>891</v>
      </c>
      <c r="K11" s="92">
        <v>992</v>
      </c>
      <c r="L11" s="92">
        <v>1070</v>
      </c>
      <c r="M11" s="93">
        <v>1110</v>
      </c>
    </row>
    <row r="14" spans="1:22" ht="13.5" thickBot="1" x14ac:dyDescent="0.4">
      <c r="A14" s="94" t="s">
        <v>382</v>
      </c>
      <c r="B14" s="94" t="s">
        <v>383</v>
      </c>
      <c r="C14" s="95" t="s">
        <v>224</v>
      </c>
      <c r="D14" s="96" t="s">
        <v>371</v>
      </c>
      <c r="E14" s="97" t="s">
        <v>373</v>
      </c>
      <c r="F14" s="96" t="s">
        <v>372</v>
      </c>
      <c r="I14" s="340"/>
    </row>
    <row r="15" spans="1:22" x14ac:dyDescent="0.35">
      <c r="A15" s="98" t="s">
        <v>378</v>
      </c>
      <c r="B15" s="99" t="s">
        <v>375</v>
      </c>
      <c r="C15" s="220" cm="1">
        <f t="array" ref="C15">SUM(($A15=$A$6:$A$11)*($B15=$B$5:$M$5)*(C$14=$B$4:$M$4)*($B$6:$M$11))</f>
        <v>666</v>
      </c>
      <c r="D15" s="220"/>
      <c r="E15" s="221"/>
      <c r="F15" s="222"/>
      <c r="H15" s="100"/>
      <c r="I15" s="81" cm="1">
        <f t="array" ref="I15:I20">--(A15=A6:A11)</f>
        <v>1</v>
      </c>
      <c r="K15" s="81" cm="1">
        <f t="array" ref="K15:V15">--(B15=B5:M5)</f>
        <v>1</v>
      </c>
      <c r="L15" s="81">
        <v>0</v>
      </c>
      <c r="M15" s="81">
        <v>0</v>
      </c>
      <c r="N15" s="81">
        <v>1</v>
      </c>
      <c r="O15" s="81">
        <v>0</v>
      </c>
      <c r="P15" s="81">
        <v>0</v>
      </c>
      <c r="Q15" s="81">
        <v>1</v>
      </c>
      <c r="R15" s="81">
        <v>0</v>
      </c>
      <c r="S15" s="81">
        <v>0</v>
      </c>
      <c r="T15" s="81">
        <v>1</v>
      </c>
      <c r="U15" s="81">
        <v>0</v>
      </c>
      <c r="V15" s="81">
        <v>0</v>
      </c>
    </row>
    <row r="16" spans="1:22" ht="13.15" thickBot="1" x14ac:dyDescent="0.4">
      <c r="A16" s="101" t="s">
        <v>275</v>
      </c>
      <c r="B16" s="102" t="s">
        <v>375</v>
      </c>
      <c r="C16" s="223"/>
      <c r="D16" s="224"/>
      <c r="E16" s="224"/>
      <c r="F16" s="225"/>
      <c r="I16" s="81">
        <v>0</v>
      </c>
      <c r="K16" s="81" cm="1">
        <f t="array" ref="K16:V16">--(C14=B4:M4)</f>
        <v>0</v>
      </c>
      <c r="L16" s="81">
        <v>0</v>
      </c>
      <c r="M16" s="81">
        <v>0</v>
      </c>
      <c r="N16" s="81">
        <v>0</v>
      </c>
      <c r="O16" s="81">
        <v>0</v>
      </c>
      <c r="P16" s="81">
        <v>0</v>
      </c>
      <c r="Q16" s="81">
        <v>1</v>
      </c>
      <c r="R16" s="81">
        <v>1</v>
      </c>
      <c r="S16" s="81">
        <v>1</v>
      </c>
      <c r="T16" s="81">
        <v>0</v>
      </c>
      <c r="U16" s="81">
        <v>0</v>
      </c>
      <c r="V16" s="81">
        <v>0</v>
      </c>
    </row>
    <row r="17" spans="1:14" x14ac:dyDescent="0.35">
      <c r="A17" s="101" t="s">
        <v>235</v>
      </c>
      <c r="B17" s="102" t="s">
        <v>375</v>
      </c>
      <c r="C17" s="223"/>
      <c r="D17" s="224"/>
      <c r="E17" s="220"/>
      <c r="F17" s="225"/>
      <c r="I17" s="81">
        <v>0</v>
      </c>
    </row>
    <row r="18" spans="1:14" x14ac:dyDescent="0.35">
      <c r="A18" s="101" t="s">
        <v>381</v>
      </c>
      <c r="B18" s="102" t="s">
        <v>375</v>
      </c>
      <c r="C18" s="223"/>
      <c r="D18" s="224"/>
      <c r="E18" s="224"/>
      <c r="F18" s="225"/>
      <c r="I18" s="81">
        <v>0</v>
      </c>
    </row>
    <row r="19" spans="1:14" x14ac:dyDescent="0.35">
      <c r="A19" s="101" t="s">
        <v>379</v>
      </c>
      <c r="B19" s="102" t="s">
        <v>375</v>
      </c>
      <c r="C19" s="223"/>
      <c r="D19" s="224"/>
      <c r="E19" s="224"/>
      <c r="F19" s="225"/>
      <c r="I19" s="81">
        <v>0</v>
      </c>
    </row>
    <row r="20" spans="1:14" x14ac:dyDescent="0.35">
      <c r="A20" s="101" t="s">
        <v>380</v>
      </c>
      <c r="B20" s="102" t="s">
        <v>375</v>
      </c>
      <c r="C20" s="223"/>
      <c r="D20" s="224"/>
      <c r="E20" s="224"/>
      <c r="F20" s="225"/>
      <c r="I20" s="81">
        <v>0</v>
      </c>
    </row>
    <row r="21" spans="1:14" x14ac:dyDescent="0.35">
      <c r="A21" s="101" t="s">
        <v>378</v>
      </c>
      <c r="B21" s="102" t="s">
        <v>376</v>
      </c>
      <c r="C21" s="223"/>
      <c r="D21" s="224"/>
      <c r="E21" s="224"/>
      <c r="F21" s="225"/>
    </row>
    <row r="22" spans="1:14" x14ac:dyDescent="0.35">
      <c r="A22" s="103" t="s">
        <v>275</v>
      </c>
      <c r="B22" s="104" t="s">
        <v>376</v>
      </c>
      <c r="C22" s="223"/>
      <c r="D22" s="226"/>
      <c r="E22" s="224"/>
      <c r="F22" s="225"/>
      <c r="I22" s="340" t="s">
        <v>867</v>
      </c>
    </row>
    <row r="23" spans="1:14" x14ac:dyDescent="0.35">
      <c r="A23" s="101" t="s">
        <v>235</v>
      </c>
      <c r="B23" s="102" t="s">
        <v>376</v>
      </c>
      <c r="C23" s="223"/>
      <c r="D23" s="224"/>
      <c r="E23" s="224"/>
      <c r="F23" s="225"/>
    </row>
    <row r="24" spans="1:14" x14ac:dyDescent="0.35">
      <c r="A24" s="101" t="s">
        <v>381</v>
      </c>
      <c r="B24" s="102" t="s">
        <v>376</v>
      </c>
      <c r="C24" s="223"/>
      <c r="D24" s="224"/>
      <c r="E24" s="224"/>
      <c r="F24" s="225"/>
    </row>
    <row r="25" spans="1:14" x14ac:dyDescent="0.35">
      <c r="A25" s="101" t="s">
        <v>379</v>
      </c>
      <c r="B25" s="102" t="s">
        <v>376</v>
      </c>
      <c r="C25" s="223"/>
      <c r="D25" s="224"/>
      <c r="E25" s="224"/>
      <c r="F25" s="225"/>
    </row>
    <row r="26" spans="1:14" x14ac:dyDescent="0.35">
      <c r="A26" s="101" t="s">
        <v>380</v>
      </c>
      <c r="B26" s="102" t="s">
        <v>376</v>
      </c>
      <c r="C26" s="223"/>
      <c r="D26" s="224"/>
      <c r="E26" s="224"/>
      <c r="F26" s="225"/>
    </row>
    <row r="27" spans="1:14" x14ac:dyDescent="0.35">
      <c r="A27" s="101" t="s">
        <v>378</v>
      </c>
      <c r="B27" s="102" t="s">
        <v>377</v>
      </c>
      <c r="C27" s="223"/>
      <c r="D27" s="224"/>
      <c r="E27" s="224"/>
      <c r="F27" s="225"/>
    </row>
    <row r="28" spans="1:14" x14ac:dyDescent="0.35">
      <c r="A28" s="101" t="s">
        <v>275</v>
      </c>
      <c r="B28" s="102" t="s">
        <v>377</v>
      </c>
      <c r="C28" s="223"/>
      <c r="D28" s="224"/>
      <c r="E28" s="224"/>
      <c r="F28" s="225"/>
    </row>
    <row r="29" spans="1:14" x14ac:dyDescent="0.35">
      <c r="A29" s="101" t="s">
        <v>235</v>
      </c>
      <c r="B29" s="102" t="s">
        <v>377</v>
      </c>
      <c r="C29" s="223"/>
      <c r="D29" s="224"/>
      <c r="E29" s="224"/>
      <c r="F29" s="225"/>
    </row>
    <row r="30" spans="1:14" x14ac:dyDescent="0.35">
      <c r="A30" s="101" t="s">
        <v>381</v>
      </c>
      <c r="B30" s="102" t="s">
        <v>377</v>
      </c>
      <c r="C30" s="223"/>
      <c r="D30" s="224"/>
      <c r="E30" s="224"/>
      <c r="F30" s="225"/>
    </row>
    <row r="31" spans="1:14" x14ac:dyDescent="0.35">
      <c r="A31" s="101" t="s">
        <v>379</v>
      </c>
      <c r="B31" s="102" t="s">
        <v>377</v>
      </c>
      <c r="C31" s="223"/>
      <c r="D31" s="224"/>
      <c r="E31" s="224"/>
      <c r="F31" s="225"/>
      <c r="K31" s="340" t="s">
        <v>868</v>
      </c>
    </row>
    <row r="32" spans="1:14" ht="13.15" thickBot="1" x14ac:dyDescent="0.4">
      <c r="A32" s="105" t="s">
        <v>380</v>
      </c>
      <c r="B32" s="106" t="s">
        <v>377</v>
      </c>
      <c r="C32" s="227"/>
      <c r="D32" s="228"/>
      <c r="E32" s="228"/>
      <c r="F32" s="229"/>
      <c r="K32" s="340" t="s">
        <v>869</v>
      </c>
      <c r="L32" s="81">
        <v>5</v>
      </c>
      <c r="M32" s="81">
        <v>10</v>
      </c>
      <c r="N32" s="81" cm="1">
        <f t="array" ref="N32:N34">L32:L34*M32:M34</f>
        <v>50</v>
      </c>
    </row>
    <row r="33" spans="2:14" x14ac:dyDescent="0.35">
      <c r="K33" s="340" t="s">
        <v>870</v>
      </c>
      <c r="L33" s="81">
        <v>7</v>
      </c>
      <c r="M33" s="81">
        <v>15</v>
      </c>
      <c r="N33" s="81">
        <v>105</v>
      </c>
    </row>
    <row r="34" spans="2:14" x14ac:dyDescent="0.35">
      <c r="K34" s="340" t="s">
        <v>871</v>
      </c>
      <c r="L34" s="81">
        <v>20</v>
      </c>
      <c r="M34" s="81">
        <v>2</v>
      </c>
      <c r="N34" s="81">
        <v>40</v>
      </c>
    </row>
    <row r="35" spans="2:14" ht="13.5" thickBot="1" x14ac:dyDescent="0.45">
      <c r="N35" s="341">
        <f>SUM(_xlfn.ANCHORARRAY(N32))</f>
        <v>195</v>
      </c>
    </row>
    <row r="36" spans="2:14" ht="13.5" thickBot="1" x14ac:dyDescent="0.45">
      <c r="B36" s="107" t="s">
        <v>10</v>
      </c>
      <c r="C36" s="108"/>
      <c r="D36" s="108"/>
      <c r="E36" s="108"/>
      <c r="F36" s="108"/>
      <c r="G36" s="109"/>
    </row>
    <row r="37" spans="2:14" outlineLevel="1" x14ac:dyDescent="0.35">
      <c r="B37" s="110"/>
      <c r="G37" s="111"/>
    </row>
    <row r="38" spans="2:14" s="341" customFormat="1" ht="13.15" outlineLevel="1" x14ac:dyDescent="0.4">
      <c r="B38" s="352" t="s">
        <v>384</v>
      </c>
      <c r="G38" s="353"/>
    </row>
    <row r="39" spans="2:14" s="341" customFormat="1" ht="13.15" outlineLevel="1" x14ac:dyDescent="0.4">
      <c r="B39" s="352" t="s">
        <v>385</v>
      </c>
      <c r="G39" s="353"/>
    </row>
    <row r="40" spans="2:14" s="341" customFormat="1" ht="13.15" outlineLevel="1" x14ac:dyDescent="0.4">
      <c r="B40" s="352" t="s">
        <v>386</v>
      </c>
      <c r="G40" s="353"/>
    </row>
    <row r="41" spans="2:14" s="341" customFormat="1" ht="13.15" outlineLevel="1" x14ac:dyDescent="0.4">
      <c r="B41" s="352" t="s">
        <v>387</v>
      </c>
      <c r="G41" s="353"/>
    </row>
    <row r="42" spans="2:14" outlineLevel="1" x14ac:dyDescent="0.35">
      <c r="B42" s="238" t="s">
        <v>388</v>
      </c>
      <c r="G42" s="111"/>
    </row>
    <row r="43" spans="2:14" outlineLevel="1" x14ac:dyDescent="0.35">
      <c r="B43" s="110" t="s">
        <v>389</v>
      </c>
      <c r="G43" s="111"/>
    </row>
    <row r="44" spans="2:14" outlineLevel="1" x14ac:dyDescent="0.35">
      <c r="B44" s="110" t="s">
        <v>390</v>
      </c>
      <c r="G44" s="111"/>
    </row>
    <row r="45" spans="2:14" outlineLevel="1" x14ac:dyDescent="0.35">
      <c r="B45" s="110" t="s">
        <v>391</v>
      </c>
      <c r="G45" s="111"/>
    </row>
    <row r="46" spans="2:14" ht="13.15" outlineLevel="1" thickBot="1" x14ac:dyDescent="0.4">
      <c r="B46" s="112"/>
      <c r="C46" s="113"/>
      <c r="D46" s="113"/>
      <c r="E46" s="113"/>
      <c r="F46" s="113"/>
      <c r="G46" s="114"/>
    </row>
    <row r="50" spans="3:3" x14ac:dyDescent="0.35">
      <c r="C50" s="340" t="s">
        <v>872</v>
      </c>
    </row>
  </sheetData>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52D23-CC3A-4DFC-818E-AB8CD33CFAF0}">
  <sheetPr codeName="Sheet11"/>
  <dimension ref="A1:N45"/>
  <sheetViews>
    <sheetView showGridLines="0" zoomScaleNormal="100" workbookViewId="0">
      <selection activeCell="A44" sqref="A44"/>
    </sheetView>
  </sheetViews>
  <sheetFormatPr defaultColWidth="8.86328125" defaultRowHeight="12.75" outlineLevelRow="1" x14ac:dyDescent="0.35"/>
  <cols>
    <col min="1" max="2" width="15.796875" style="3" customWidth="1"/>
    <col min="3" max="3" width="8.86328125" style="3"/>
    <col min="4" max="4" width="15.796875" style="3" customWidth="1"/>
    <col min="5" max="5" width="23" style="3" bestFit="1" customWidth="1"/>
    <col min="6" max="6" width="8.86328125" style="3"/>
    <col min="7" max="7" width="20.33203125" style="3" customWidth="1"/>
    <col min="8" max="8" width="36.19921875" style="3" customWidth="1"/>
    <col min="9" max="16384" width="8.86328125" style="3"/>
  </cols>
  <sheetData>
    <row r="1" spans="1:14" ht="13.9" x14ac:dyDescent="0.4">
      <c r="A1" s="1" t="s">
        <v>219</v>
      </c>
    </row>
    <row r="3" spans="1:14" x14ac:dyDescent="0.35">
      <c r="E3" s="215" t="s">
        <v>647</v>
      </c>
      <c r="K3" s="334">
        <v>2024</v>
      </c>
      <c r="L3" s="335"/>
      <c r="M3" s="335"/>
      <c r="N3" s="336"/>
    </row>
    <row r="4" spans="1:14" x14ac:dyDescent="0.35">
      <c r="K4" s="337" t="s">
        <v>863</v>
      </c>
      <c r="L4" s="338" t="s">
        <v>864</v>
      </c>
      <c r="M4" s="338" t="s">
        <v>865</v>
      </c>
      <c r="N4" s="339" t="s">
        <v>866</v>
      </c>
    </row>
    <row r="6" spans="1:14" ht="13.15" x14ac:dyDescent="0.4">
      <c r="A6" s="219" t="s">
        <v>220</v>
      </c>
      <c r="B6" s="219"/>
      <c r="D6" s="219" t="s">
        <v>221</v>
      </c>
      <c r="E6" s="219"/>
    </row>
    <row r="7" spans="1:14" ht="13.15" x14ac:dyDescent="0.4">
      <c r="A7" s="59" t="s">
        <v>222</v>
      </c>
      <c r="B7" s="59" t="s">
        <v>223</v>
      </c>
      <c r="D7" s="59" t="s">
        <v>222</v>
      </c>
      <c r="E7" s="59" t="s">
        <v>223</v>
      </c>
      <c r="G7" s="59" t="s">
        <v>648</v>
      </c>
      <c r="H7" s="59" t="s">
        <v>649</v>
      </c>
    </row>
    <row r="8" spans="1:14" x14ac:dyDescent="0.35">
      <c r="A8" s="211" t="s">
        <v>224</v>
      </c>
      <c r="B8" s="211" t="s">
        <v>225</v>
      </c>
      <c r="D8" s="212" t="s">
        <v>224</v>
      </c>
      <c r="E8" s="212" t="s">
        <v>226</v>
      </c>
      <c r="G8" s="214" t="str" cm="1">
        <f t="array" ref="G8:G13">_xlfn.UNIQUE(A8:A19)</f>
        <v>Mumbai</v>
      </c>
      <c r="H8" s="60" t="str" cm="1">
        <f t="array" ref="H8:H13">_xlfn.BYROW(_xlfn.ANCHORARRAY(G8),_xlfn.LAMBDA(_xlpm.x,_xlfn.TEXTJOIN(",",,_xlfn._xlws.FILTER($B$8:$B$19,$A$8:$A$19=_xlpm.x))))</f>
        <v>SP Jain,JBIMS,HR,TISS</v>
      </c>
    </row>
    <row r="9" spans="1:14" x14ac:dyDescent="0.35">
      <c r="A9" s="211" t="s">
        <v>227</v>
      </c>
      <c r="B9" s="211" t="s">
        <v>228</v>
      </c>
      <c r="D9" s="212" t="s">
        <v>227</v>
      </c>
      <c r="E9" s="212" t="s">
        <v>229</v>
      </c>
      <c r="G9" s="214" t="str">
        <v>Delhi</v>
      </c>
      <c r="H9" s="60" t="str">
        <v>FMS,AIIMS,IIT D</v>
      </c>
    </row>
    <row r="10" spans="1:14" x14ac:dyDescent="0.35">
      <c r="A10" s="211" t="s">
        <v>230</v>
      </c>
      <c r="B10" s="211" t="s">
        <v>231</v>
      </c>
      <c r="D10" s="212" t="s">
        <v>230</v>
      </c>
      <c r="E10" s="212" t="s">
        <v>231</v>
      </c>
      <c r="G10" s="214" t="str">
        <v>Bangalore</v>
      </c>
      <c r="H10" s="60" t="str">
        <v>IIM B</v>
      </c>
    </row>
    <row r="11" spans="1:14" x14ac:dyDescent="0.35">
      <c r="A11" s="211" t="s">
        <v>224</v>
      </c>
      <c r="B11" s="211" t="s">
        <v>232</v>
      </c>
      <c r="D11" s="212" t="s">
        <v>233</v>
      </c>
      <c r="E11" s="212" t="s">
        <v>234</v>
      </c>
      <c r="G11" s="214" t="str">
        <v>Kolkata</v>
      </c>
      <c r="H11" s="60" t="str">
        <v>XLRI,Xavier</v>
      </c>
    </row>
    <row r="12" spans="1:14" x14ac:dyDescent="0.35">
      <c r="A12" s="211" t="s">
        <v>224</v>
      </c>
      <c r="B12" s="211" t="s">
        <v>235</v>
      </c>
      <c r="D12" s="212" t="s">
        <v>236</v>
      </c>
      <c r="E12" s="212" t="s">
        <v>237</v>
      </c>
      <c r="G12" s="214" t="str">
        <v>Ahmedabad</v>
      </c>
      <c r="H12" s="60" t="str">
        <v>IIM A</v>
      </c>
    </row>
    <row r="13" spans="1:14" x14ac:dyDescent="0.35">
      <c r="A13" s="211" t="s">
        <v>233</v>
      </c>
      <c r="B13" s="211" t="s">
        <v>238</v>
      </c>
      <c r="D13" s="212" t="s">
        <v>239</v>
      </c>
      <c r="E13" s="212" t="s">
        <v>240</v>
      </c>
      <c r="G13" s="214" t="str">
        <v>Lucknow</v>
      </c>
      <c r="H13" s="60" t="str">
        <v>IIM L</v>
      </c>
    </row>
    <row r="14" spans="1:14" x14ac:dyDescent="0.35">
      <c r="A14" s="211" t="s">
        <v>224</v>
      </c>
      <c r="B14" s="211" t="s">
        <v>241</v>
      </c>
    </row>
    <row r="15" spans="1:14" x14ac:dyDescent="0.35">
      <c r="A15" s="211" t="s">
        <v>236</v>
      </c>
      <c r="B15" s="211" t="s">
        <v>237</v>
      </c>
      <c r="D15" s="213"/>
    </row>
    <row r="16" spans="1:14" ht="13.15" x14ac:dyDescent="0.4">
      <c r="A16" s="211" t="s">
        <v>233</v>
      </c>
      <c r="B16" s="211" t="s">
        <v>242</v>
      </c>
      <c r="D16" s="3" t="s">
        <v>227</v>
      </c>
      <c r="E16" s="213"/>
      <c r="G16" s="218"/>
      <c r="H16" s="218"/>
    </row>
    <row r="17" spans="1:7" x14ac:dyDescent="0.35">
      <c r="A17" s="211" t="s">
        <v>227</v>
      </c>
      <c r="B17" s="211" t="s">
        <v>243</v>
      </c>
      <c r="E17" s="216"/>
    </row>
    <row r="18" spans="1:7" x14ac:dyDescent="0.35">
      <c r="A18" s="211" t="s">
        <v>227</v>
      </c>
      <c r="B18" s="211" t="s">
        <v>244</v>
      </c>
    </row>
    <row r="19" spans="1:7" x14ac:dyDescent="0.35">
      <c r="A19" s="211" t="s">
        <v>239</v>
      </c>
      <c r="B19" s="211" t="s">
        <v>240</v>
      </c>
      <c r="D19" s="293"/>
      <c r="E19" s="213"/>
    </row>
    <row r="20" spans="1:7" x14ac:dyDescent="0.35">
      <c r="D20" s="293"/>
    </row>
    <row r="21" spans="1:7" ht="13.15" x14ac:dyDescent="0.4">
      <c r="A21" s="213"/>
      <c r="D21" s="293"/>
      <c r="G21" s="57"/>
    </row>
    <row r="22" spans="1:7" x14ac:dyDescent="0.35">
      <c r="A22" s="213"/>
      <c r="D22" s="331"/>
    </row>
    <row r="23" spans="1:7" ht="13.15" x14ac:dyDescent="0.4">
      <c r="A23" s="213"/>
      <c r="D23" s="57"/>
      <c r="E23" s="57"/>
    </row>
    <row r="24" spans="1:7" ht="13.15" thickBot="1" x14ac:dyDescent="0.4"/>
    <row r="25" spans="1:7" ht="13.5" thickBot="1" x14ac:dyDescent="0.45">
      <c r="B25" s="10" t="s">
        <v>10</v>
      </c>
      <c r="C25" s="11"/>
      <c r="D25" s="11"/>
      <c r="E25" s="11"/>
      <c r="F25" s="11"/>
      <c r="G25" s="12"/>
    </row>
    <row r="26" spans="1:7" outlineLevel="1" x14ac:dyDescent="0.35">
      <c r="B26" s="13"/>
      <c r="G26" s="14"/>
    </row>
    <row r="27" spans="1:7" s="41" customFormat="1" ht="13.15" outlineLevel="1" x14ac:dyDescent="0.4">
      <c r="B27" s="332" t="s">
        <v>651</v>
      </c>
      <c r="G27" s="333"/>
    </row>
    <row r="28" spans="1:7" s="41" customFormat="1" ht="13.15" outlineLevel="1" x14ac:dyDescent="0.4">
      <c r="B28" s="332" t="s">
        <v>245</v>
      </c>
      <c r="G28" s="333"/>
    </row>
    <row r="29" spans="1:7" s="57" customFormat="1" ht="13.15" outlineLevel="1" x14ac:dyDescent="0.4">
      <c r="B29" s="332" t="s">
        <v>246</v>
      </c>
      <c r="G29" s="217"/>
    </row>
    <row r="30" spans="1:7" s="57" customFormat="1" ht="13.15" outlineLevel="1" x14ac:dyDescent="0.4">
      <c r="B30" s="332" t="s">
        <v>247</v>
      </c>
      <c r="G30" s="217"/>
    </row>
    <row r="31" spans="1:7" ht="13.15" outlineLevel="1" x14ac:dyDescent="0.4">
      <c r="B31" s="332" t="s">
        <v>248</v>
      </c>
      <c r="G31" s="14"/>
    </row>
    <row r="32" spans="1:7" ht="13.15" outlineLevel="1" x14ac:dyDescent="0.4">
      <c r="B32" s="332" t="s">
        <v>249</v>
      </c>
      <c r="G32" s="14"/>
    </row>
    <row r="33" spans="2:11" s="57" customFormat="1" ht="13.15" outlineLevel="1" x14ac:dyDescent="0.4">
      <c r="B33" s="332" t="s">
        <v>250</v>
      </c>
      <c r="G33" s="217"/>
    </row>
    <row r="34" spans="2:11" ht="13.15" outlineLevel="1" thickBot="1" x14ac:dyDescent="0.4">
      <c r="B34" s="15"/>
      <c r="C34" s="16"/>
      <c r="D34" s="16"/>
      <c r="E34" s="16"/>
      <c r="F34" s="16"/>
      <c r="G34" s="17"/>
    </row>
    <row r="39" spans="2:11" x14ac:dyDescent="0.35">
      <c r="G39" s="3">
        <v>2015</v>
      </c>
      <c r="H39" s="3">
        <f>G39+1</f>
        <v>2016</v>
      </c>
      <c r="I39" s="3">
        <f t="shared" ref="I39:K39" si="0">H39+1</f>
        <v>2017</v>
      </c>
      <c r="J39" s="3">
        <f t="shared" si="0"/>
        <v>2018</v>
      </c>
      <c r="K39" s="3">
        <f t="shared" si="0"/>
        <v>2019</v>
      </c>
    </row>
    <row r="40" spans="2:11" x14ac:dyDescent="0.35">
      <c r="G40" s="3">
        <v>5</v>
      </c>
      <c r="H40" s="3">
        <v>5</v>
      </c>
      <c r="I40" s="3">
        <v>5</v>
      </c>
      <c r="J40" s="3">
        <v>5</v>
      </c>
      <c r="K40" s="3">
        <v>5</v>
      </c>
    </row>
    <row r="41" spans="2:11" x14ac:dyDescent="0.35">
      <c r="G41" s="3">
        <v>6</v>
      </c>
      <c r="H41" s="3">
        <v>6</v>
      </c>
      <c r="I41" s="3">
        <v>6</v>
      </c>
      <c r="J41" s="3">
        <v>6</v>
      </c>
      <c r="K41" s="3">
        <v>6</v>
      </c>
    </row>
    <row r="42" spans="2:11" x14ac:dyDescent="0.35">
      <c r="G42" s="3">
        <v>5</v>
      </c>
      <c r="H42" s="3">
        <v>8</v>
      </c>
      <c r="I42" s="3">
        <v>9</v>
      </c>
      <c r="J42" s="3">
        <v>5</v>
      </c>
      <c r="K42" s="3">
        <v>5</v>
      </c>
    </row>
    <row r="43" spans="2:11" x14ac:dyDescent="0.35">
      <c r="G43" s="3">
        <f>SUM(G40:G42)</f>
        <v>16</v>
      </c>
      <c r="H43" s="3">
        <f t="shared" ref="H43:K43" si="1">SUM(H40:H42)</f>
        <v>19</v>
      </c>
      <c r="I43" s="3">
        <f t="shared" si="1"/>
        <v>20</v>
      </c>
      <c r="J43" s="3">
        <f t="shared" si="1"/>
        <v>16</v>
      </c>
      <c r="K43" s="3">
        <f t="shared" si="1"/>
        <v>16</v>
      </c>
    </row>
    <row r="45" spans="2:11" x14ac:dyDescent="0.35">
      <c r="G45" s="3" cm="1">
        <f t="array" ref="G45:K45">_xlfn.BYCOL(G40:K42,_xlfn.LAMBDA(_xlpm.x,SUM(_xlpm.x)))</f>
        <v>16</v>
      </c>
      <c r="H45" s="3">
        <v>19</v>
      </c>
      <c r="I45" s="3">
        <v>20</v>
      </c>
      <c r="J45" s="3">
        <v>16</v>
      </c>
      <c r="K45" s="3">
        <v>16</v>
      </c>
    </row>
  </sheetData>
  <dataValidations count="1">
    <dataValidation type="list" allowBlank="1" showInputMessage="1" showErrorMessage="1" sqref="D16" xr:uid="{2CE9C7EA-4C26-49B2-9698-52A82B906A05}">
      <formula1>_xlfn.ANCHORARRAY($G$8)</formula1>
    </dataValidation>
  </dataValidation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86FCCE-4810-4C26-8B73-977427737FDA}">
  <sheetPr codeName="Sheet12">
    <tabColor rgb="FFFFFF00"/>
  </sheetPr>
  <dimension ref="A1:G37"/>
  <sheetViews>
    <sheetView showGridLines="0" zoomScale="109" workbookViewId="0">
      <selection activeCell="B35" sqref="B35"/>
    </sheetView>
  </sheetViews>
  <sheetFormatPr defaultColWidth="8.86328125" defaultRowHeight="12.75" outlineLevelRow="1" x14ac:dyDescent="0.35"/>
  <cols>
    <col min="1" max="1" width="38.1328125" style="3" customWidth="1"/>
    <col min="2" max="2" width="23.33203125" style="3" customWidth="1"/>
    <col min="3" max="7" width="12.796875" style="3" customWidth="1"/>
    <col min="8" max="16384" width="8.86328125" style="3"/>
  </cols>
  <sheetData>
    <row r="1" spans="1:3" ht="13.9" x14ac:dyDescent="0.4">
      <c r="A1" s="1" t="s">
        <v>18</v>
      </c>
      <c r="B1" s="1"/>
      <c r="C1" s="1"/>
    </row>
    <row r="5" spans="1:3" x14ac:dyDescent="0.35">
      <c r="A5" s="3" t="s">
        <v>19</v>
      </c>
      <c r="B5" s="18">
        <v>4000000</v>
      </c>
    </row>
    <row r="6" spans="1:3" x14ac:dyDescent="0.35">
      <c r="A6" s="3" t="s">
        <v>20</v>
      </c>
      <c r="B6" s="6">
        <v>0.08</v>
      </c>
    </row>
    <row r="7" spans="1:3" x14ac:dyDescent="0.35">
      <c r="A7" s="3" t="s">
        <v>21</v>
      </c>
      <c r="B7" s="3">
        <v>60</v>
      </c>
    </row>
    <row r="8" spans="1:3" ht="13.15" x14ac:dyDescent="0.4">
      <c r="A8" s="3" t="s">
        <v>22</v>
      </c>
      <c r="B8" s="19">
        <f>-PMT(B6/12,B7,B5)</f>
        <v>81105.577153654725</v>
      </c>
    </row>
    <row r="9" spans="1:3" x14ac:dyDescent="0.35">
      <c r="B9" s="8"/>
    </row>
    <row r="10" spans="1:3" ht="14.25" x14ac:dyDescent="0.45">
      <c r="A10" s="279" t="s">
        <v>735</v>
      </c>
      <c r="B10" s="284">
        <v>125000</v>
      </c>
    </row>
    <row r="11" spans="1:3" x14ac:dyDescent="0.35">
      <c r="B11" s="279"/>
    </row>
    <row r="12" spans="1:3" x14ac:dyDescent="0.35">
      <c r="A12" s="279" t="s">
        <v>736</v>
      </c>
      <c r="B12" s="285">
        <f>NPER(B6/12,-B10,B5)</f>
        <v>36.112442915962539</v>
      </c>
    </row>
    <row r="13" spans="1:3" x14ac:dyDescent="0.35">
      <c r="B13" s="279"/>
    </row>
    <row r="14" spans="1:3" x14ac:dyDescent="0.35">
      <c r="B14" s="279"/>
    </row>
    <row r="15" spans="1:3" x14ac:dyDescent="0.35">
      <c r="A15" s="20" t="s">
        <v>23</v>
      </c>
      <c r="B15" s="279"/>
      <c r="C15" s="279"/>
    </row>
    <row r="16" spans="1:3" x14ac:dyDescent="0.35">
      <c r="B16" s="283"/>
      <c r="C16" s="279"/>
    </row>
    <row r="17" spans="1:7" x14ac:dyDescent="0.35">
      <c r="B17" s="279"/>
      <c r="C17" s="279"/>
      <c r="E17" s="279"/>
    </row>
    <row r="19" spans="1:7" ht="13.15" x14ac:dyDescent="0.4">
      <c r="A19" s="282" t="s">
        <v>68</v>
      </c>
      <c r="B19" s="282" t="s">
        <v>733</v>
      </c>
      <c r="C19" s="282" t="s">
        <v>383</v>
      </c>
    </row>
    <row r="20" spans="1:7" x14ac:dyDescent="0.35">
      <c r="A20" s="280" t="s">
        <v>732</v>
      </c>
      <c r="B20" s="281">
        <v>1200000</v>
      </c>
      <c r="C20" s="280">
        <v>2000</v>
      </c>
    </row>
    <row r="21" spans="1:7" x14ac:dyDescent="0.35">
      <c r="A21" s="280" t="s">
        <v>734</v>
      </c>
      <c r="B21" s="281">
        <v>6500000</v>
      </c>
      <c r="C21" s="280">
        <v>2023</v>
      </c>
    </row>
    <row r="23" spans="1:7" x14ac:dyDescent="0.35">
      <c r="B23" s="45"/>
      <c r="C23" s="3">
        <f>C21-C20</f>
        <v>23</v>
      </c>
    </row>
    <row r="25" spans="1:7" x14ac:dyDescent="0.35">
      <c r="B25" s="279" t="s">
        <v>737</v>
      </c>
      <c r="C25" s="286">
        <f>_xlfn.RRI(C23,B20,B21)</f>
        <v>7.6220836576560203E-2</v>
      </c>
      <c r="E25" s="8">
        <f>B20*(1+7.62208%)^23</f>
        <v>6499994.9190783901</v>
      </c>
    </row>
    <row r="27" spans="1:7" ht="13.15" thickBot="1" x14ac:dyDescent="0.4"/>
    <row r="28" spans="1:7" ht="13.5" thickBot="1" x14ac:dyDescent="0.45">
      <c r="B28" s="10" t="s">
        <v>10</v>
      </c>
      <c r="C28" s="11"/>
      <c r="D28" s="11"/>
      <c r="E28" s="11"/>
      <c r="F28" s="11"/>
      <c r="G28" s="12"/>
    </row>
    <row r="29" spans="1:7" outlineLevel="1" x14ac:dyDescent="0.35">
      <c r="B29" s="13"/>
      <c r="G29" s="14"/>
    </row>
    <row r="30" spans="1:7" s="57" customFormat="1" ht="13.15" outlineLevel="1" x14ac:dyDescent="0.4">
      <c r="B30" s="47" t="s">
        <v>24</v>
      </c>
      <c r="G30" s="217"/>
    </row>
    <row r="31" spans="1:7" s="57" customFormat="1" ht="13.15" outlineLevel="1" x14ac:dyDescent="0.4">
      <c r="B31" s="47" t="s">
        <v>25</v>
      </c>
      <c r="G31" s="217"/>
    </row>
    <row r="32" spans="1:7" s="57" customFormat="1" ht="13.15" outlineLevel="1" x14ac:dyDescent="0.4">
      <c r="B32" s="47" t="s">
        <v>26</v>
      </c>
      <c r="G32" s="217"/>
    </row>
    <row r="33" spans="2:7" s="57" customFormat="1" ht="13.15" outlineLevel="1" x14ac:dyDescent="0.4">
      <c r="B33" s="47" t="s">
        <v>27</v>
      </c>
      <c r="G33" s="217"/>
    </row>
    <row r="34" spans="2:7" s="57" customFormat="1" ht="13.15" outlineLevel="1" x14ac:dyDescent="0.4">
      <c r="B34" s="47" t="s">
        <v>28</v>
      </c>
      <c r="G34" s="217"/>
    </row>
    <row r="35" spans="2:7" s="57" customFormat="1" ht="13.15" outlineLevel="1" x14ac:dyDescent="0.4">
      <c r="B35" s="47" t="s">
        <v>29</v>
      </c>
      <c r="G35" s="217"/>
    </row>
    <row r="36" spans="2:7" s="57" customFormat="1" ht="13.15" outlineLevel="1" x14ac:dyDescent="0.4">
      <c r="B36" s="47" t="s">
        <v>30</v>
      </c>
      <c r="G36" s="217"/>
    </row>
    <row r="37" spans="2:7" ht="13.15" outlineLevel="1" thickBot="1" x14ac:dyDescent="0.4">
      <c r="B37" s="15"/>
      <c r="C37" s="16"/>
      <c r="D37" s="16"/>
      <c r="E37" s="16"/>
      <c r="F37" s="16"/>
      <c r="G37" s="17"/>
    </row>
  </sheetData>
  <hyperlinks>
    <hyperlink ref="A15" r:id="rId1" xr:uid="{5400DF7F-BD19-4760-AEC3-454ACF943355}"/>
  </hyperlinks>
  <pageMargins left="0.7" right="0.7" top="0.75" bottom="0.75" header="0.3" footer="0.3"/>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A98DA-364B-44F8-8A9C-8C47E4EC9E42}">
  <dimension ref="A1:V46"/>
  <sheetViews>
    <sheetView showGridLines="0" zoomScale="120" workbookViewId="0">
      <selection activeCell="C15" sqref="C15"/>
    </sheetView>
  </sheetViews>
  <sheetFormatPr defaultColWidth="8.86328125" defaultRowHeight="12.75" outlineLevelRow="1" x14ac:dyDescent="0.35"/>
  <cols>
    <col min="1" max="1" width="15.796875" style="81" customWidth="1"/>
    <col min="2" max="13" width="10.796875" style="81" customWidth="1"/>
    <col min="14" max="16384" width="8.86328125" style="81"/>
  </cols>
  <sheetData>
    <row r="1" spans="1:22" s="76" customFormat="1" ht="13.9" x14ac:dyDescent="0.35">
      <c r="A1" s="74" t="s">
        <v>369</v>
      </c>
      <c r="B1" s="75"/>
      <c r="C1" s="75"/>
      <c r="D1" s="75"/>
    </row>
    <row r="4" spans="1:22" ht="13.15" x14ac:dyDescent="0.35">
      <c r="A4" s="77" t="s">
        <v>370</v>
      </c>
      <c r="B4" s="348">
        <v>0</v>
      </c>
      <c r="C4" s="348">
        <v>0</v>
      </c>
      <c r="D4" s="349">
        <v>0</v>
      </c>
      <c r="E4" s="348">
        <v>0</v>
      </c>
      <c r="F4" s="348">
        <v>0</v>
      </c>
      <c r="G4" s="349">
        <v>0</v>
      </c>
      <c r="H4" s="80">
        <v>1</v>
      </c>
      <c r="I4" s="348">
        <v>1</v>
      </c>
      <c r="J4" s="349">
        <v>1</v>
      </c>
      <c r="K4" s="348">
        <v>0</v>
      </c>
      <c r="L4" s="348">
        <v>0</v>
      </c>
      <c r="M4" s="349">
        <v>0</v>
      </c>
    </row>
    <row r="5" spans="1:22" ht="13.15" x14ac:dyDescent="0.35">
      <c r="A5" s="77" t="s">
        <v>374</v>
      </c>
      <c r="B5" s="350">
        <v>1</v>
      </c>
      <c r="C5" s="350">
        <v>0</v>
      </c>
      <c r="D5" s="351">
        <v>0</v>
      </c>
      <c r="E5" s="350">
        <v>1</v>
      </c>
      <c r="F5" s="350">
        <v>0</v>
      </c>
      <c r="G5" s="351">
        <v>0</v>
      </c>
      <c r="H5" s="82">
        <v>1</v>
      </c>
      <c r="I5" s="350">
        <v>0</v>
      </c>
      <c r="J5" s="351">
        <v>0</v>
      </c>
      <c r="K5" s="350">
        <v>1</v>
      </c>
      <c r="L5" s="350">
        <v>0</v>
      </c>
      <c r="M5" s="351">
        <v>0</v>
      </c>
    </row>
    <row r="6" spans="1:22" ht="13.15" x14ac:dyDescent="0.35">
      <c r="A6" s="85">
        <v>1</v>
      </c>
      <c r="B6" s="343">
        <v>67</v>
      </c>
      <c r="C6" s="343">
        <v>145</v>
      </c>
      <c r="D6" s="344">
        <v>254</v>
      </c>
      <c r="E6" s="343">
        <v>385</v>
      </c>
      <c r="F6" s="343">
        <v>419</v>
      </c>
      <c r="G6" s="344">
        <v>530</v>
      </c>
      <c r="H6" s="88">
        <v>666</v>
      </c>
      <c r="I6" s="343">
        <v>751</v>
      </c>
      <c r="J6" s="344">
        <v>852</v>
      </c>
      <c r="K6" s="343">
        <v>971</v>
      </c>
      <c r="L6" s="343">
        <v>1004</v>
      </c>
      <c r="M6" s="344">
        <v>1159</v>
      </c>
    </row>
    <row r="7" spans="1:22" ht="13.15" x14ac:dyDescent="0.35">
      <c r="A7" s="342">
        <v>0</v>
      </c>
      <c r="B7" s="343">
        <v>54</v>
      </c>
      <c r="C7" s="343">
        <v>190</v>
      </c>
      <c r="D7" s="344">
        <v>222</v>
      </c>
      <c r="E7" s="343">
        <v>366</v>
      </c>
      <c r="F7" s="343">
        <v>432</v>
      </c>
      <c r="G7" s="344">
        <v>510</v>
      </c>
      <c r="H7" s="343">
        <v>623</v>
      </c>
      <c r="I7" s="343">
        <v>790</v>
      </c>
      <c r="J7" s="344">
        <v>841</v>
      </c>
      <c r="K7" s="343">
        <v>926</v>
      </c>
      <c r="L7" s="343">
        <v>1033</v>
      </c>
      <c r="M7" s="344">
        <v>1155</v>
      </c>
    </row>
    <row r="8" spans="1:22" ht="13.15" x14ac:dyDescent="0.35">
      <c r="A8" s="342">
        <v>0</v>
      </c>
      <c r="B8" s="343">
        <v>10</v>
      </c>
      <c r="C8" s="343">
        <v>159</v>
      </c>
      <c r="D8" s="344">
        <v>240</v>
      </c>
      <c r="E8" s="343">
        <v>375</v>
      </c>
      <c r="F8" s="343">
        <v>449</v>
      </c>
      <c r="G8" s="344">
        <v>600</v>
      </c>
      <c r="H8" s="343">
        <v>621</v>
      </c>
      <c r="I8" s="343">
        <v>728</v>
      </c>
      <c r="J8" s="344">
        <v>817</v>
      </c>
      <c r="K8" s="343">
        <v>959</v>
      </c>
      <c r="L8" s="343">
        <v>1089</v>
      </c>
      <c r="M8" s="344">
        <v>1182</v>
      </c>
    </row>
    <row r="9" spans="1:22" ht="13.15" x14ac:dyDescent="0.35">
      <c r="A9" s="342">
        <v>0</v>
      </c>
      <c r="B9" s="343">
        <v>6</v>
      </c>
      <c r="C9" s="343">
        <v>116</v>
      </c>
      <c r="D9" s="344">
        <v>219</v>
      </c>
      <c r="E9" s="343">
        <v>354</v>
      </c>
      <c r="F9" s="343">
        <v>489</v>
      </c>
      <c r="G9" s="344">
        <v>565</v>
      </c>
      <c r="H9" s="343">
        <v>622</v>
      </c>
      <c r="I9" s="343">
        <v>741</v>
      </c>
      <c r="J9" s="344">
        <v>825</v>
      </c>
      <c r="K9" s="343">
        <v>958</v>
      </c>
      <c r="L9" s="343">
        <v>1080</v>
      </c>
      <c r="M9" s="344">
        <v>1182</v>
      </c>
    </row>
    <row r="10" spans="1:22" ht="13.15" x14ac:dyDescent="0.35">
      <c r="A10" s="342">
        <v>0</v>
      </c>
      <c r="B10" s="343">
        <v>63</v>
      </c>
      <c r="C10" s="343">
        <v>115</v>
      </c>
      <c r="D10" s="344">
        <v>298</v>
      </c>
      <c r="E10" s="343">
        <v>316</v>
      </c>
      <c r="F10" s="343">
        <v>470</v>
      </c>
      <c r="G10" s="344">
        <v>556</v>
      </c>
      <c r="H10" s="343">
        <v>695</v>
      </c>
      <c r="I10" s="343">
        <v>748</v>
      </c>
      <c r="J10" s="344">
        <v>834</v>
      </c>
      <c r="K10" s="343">
        <v>999</v>
      </c>
      <c r="L10" s="343">
        <v>1047</v>
      </c>
      <c r="M10" s="344">
        <v>1140</v>
      </c>
    </row>
    <row r="11" spans="1:22" ht="13.15" x14ac:dyDescent="0.35">
      <c r="A11" s="345">
        <v>0</v>
      </c>
      <c r="B11" s="346">
        <v>13</v>
      </c>
      <c r="C11" s="346">
        <v>168</v>
      </c>
      <c r="D11" s="347">
        <v>293</v>
      </c>
      <c r="E11" s="346">
        <v>331</v>
      </c>
      <c r="F11" s="346">
        <v>427</v>
      </c>
      <c r="G11" s="347">
        <v>535</v>
      </c>
      <c r="H11" s="346">
        <v>630</v>
      </c>
      <c r="I11" s="346">
        <v>727</v>
      </c>
      <c r="J11" s="347">
        <v>891</v>
      </c>
      <c r="K11" s="346">
        <v>992</v>
      </c>
      <c r="L11" s="346">
        <v>1070</v>
      </c>
      <c r="M11" s="347">
        <v>1110</v>
      </c>
    </row>
    <row r="14" spans="1:22" ht="13.5" thickBot="1" x14ac:dyDescent="0.4">
      <c r="A14" s="94" t="s">
        <v>382</v>
      </c>
      <c r="B14" s="94" t="s">
        <v>383</v>
      </c>
      <c r="C14" s="95" t="s">
        <v>224</v>
      </c>
      <c r="D14" s="96" t="s">
        <v>371</v>
      </c>
      <c r="E14" s="97" t="s">
        <v>373</v>
      </c>
      <c r="F14" s="96" t="s">
        <v>372</v>
      </c>
      <c r="I14" s="340"/>
    </row>
    <row r="15" spans="1:22" x14ac:dyDescent="0.35">
      <c r="A15" s="98" t="s">
        <v>378</v>
      </c>
      <c r="B15" s="99" t="s">
        <v>375</v>
      </c>
      <c r="C15" s="220" cm="1">
        <f t="array" ref="C15">SUMPRODUCT( ($A15=$A$6:$A$11) * ($B15=$B$5:$M$5) * (C$14=$B$4:$M$4) * ($B$6:$M$11) )</f>
        <v>0</v>
      </c>
      <c r="D15" s="220" cm="1">
        <f t="array" ref="D15">SUMPRODUCT( ($A15=$A$6:$A$11) * ($B15=$B$5:$M$5) * (D$14=$B$4:$M$4) * ($B$6:$M$11) )</f>
        <v>0</v>
      </c>
      <c r="E15" s="221" cm="1">
        <f t="array" ref="E15">SUMPRODUCT( ($A15=$A$6:$A$11) * ($B15=$B$5:$M$5) * (E$14=$B$4:$M$4) * ($B$6:$M$11) )</f>
        <v>0</v>
      </c>
      <c r="F15" s="222" cm="1">
        <f t="array" ref="F15">SUMPRODUCT( ($A15=$A$6:$A$11) * ($B15=$B$5:$M$5) * (F$14=$B$4:$M$4) * ($B$6:$M$11) )</f>
        <v>0</v>
      </c>
      <c r="H15" s="100"/>
      <c r="I15" s="81" cm="1">
        <f t="array" ref="I15:I20">--(A15=A6:A11)</f>
        <v>0</v>
      </c>
      <c r="K15" s="81" cm="1">
        <f t="array" ref="K15:V15">--(B15=B5:M5)</f>
        <v>0</v>
      </c>
      <c r="L15" s="81">
        <v>0</v>
      </c>
      <c r="M15" s="81">
        <v>0</v>
      </c>
      <c r="N15" s="81">
        <v>0</v>
      </c>
      <c r="O15" s="81">
        <v>0</v>
      </c>
      <c r="P15" s="81">
        <v>0</v>
      </c>
      <c r="Q15" s="81">
        <v>0</v>
      </c>
      <c r="R15" s="81">
        <v>0</v>
      </c>
      <c r="S15" s="81">
        <v>0</v>
      </c>
      <c r="T15" s="81">
        <v>0</v>
      </c>
      <c r="U15" s="81">
        <v>0</v>
      </c>
      <c r="V15" s="81">
        <v>0</v>
      </c>
    </row>
    <row r="16" spans="1:22" ht="13.15" thickBot="1" x14ac:dyDescent="0.4">
      <c r="A16" s="101" t="s">
        <v>275</v>
      </c>
      <c r="B16" s="102" t="s">
        <v>375</v>
      </c>
      <c r="C16" s="223" cm="1">
        <f t="array" ref="C16">SUMPRODUCT( ($A16=$A$6:$A$11) * ($B16=$B$5:$M$5) * (C$14=$B$4:$M$4) * ($B$6:$M$11) )</f>
        <v>0</v>
      </c>
      <c r="D16" s="224" cm="1">
        <f t="array" ref="D16">SUMPRODUCT( ($A16=$A$6:$A$11) * ($B16=$B$5:$M$5) * (D$14=$B$4:$M$4) * ($B$6:$M$11) )</f>
        <v>0</v>
      </c>
      <c r="E16" s="224" cm="1">
        <f t="array" ref="E16">SUMPRODUCT( ($A16=$A$6:$A$11) * ($B16=$B$5:$M$5) * (E$14=$B$4:$M$4) * ($B$6:$M$11) )</f>
        <v>0</v>
      </c>
      <c r="F16" s="225" cm="1">
        <f t="array" ref="F16">SUMPRODUCT( ($A16=$A$6:$A$11) * ($B16=$B$5:$M$5) * (F$14=$B$4:$M$4) * ($B$6:$M$11) )</f>
        <v>0</v>
      </c>
      <c r="I16" s="81">
        <v>0</v>
      </c>
      <c r="K16" s="81" cm="1">
        <f t="array" ref="K16:V16">--(C14=B4:M4)</f>
        <v>0</v>
      </c>
      <c r="L16" s="81">
        <v>0</v>
      </c>
      <c r="M16" s="81">
        <v>0</v>
      </c>
      <c r="N16" s="81">
        <v>0</v>
      </c>
      <c r="O16" s="81">
        <v>0</v>
      </c>
      <c r="P16" s="81">
        <v>0</v>
      </c>
      <c r="Q16" s="81">
        <v>0</v>
      </c>
      <c r="R16" s="81">
        <v>0</v>
      </c>
      <c r="S16" s="81">
        <v>0</v>
      </c>
      <c r="T16" s="81">
        <v>0</v>
      </c>
      <c r="U16" s="81">
        <v>0</v>
      </c>
      <c r="V16" s="81">
        <v>0</v>
      </c>
    </row>
    <row r="17" spans="1:14" x14ac:dyDescent="0.35">
      <c r="A17" s="101" t="s">
        <v>235</v>
      </c>
      <c r="B17" s="102" t="s">
        <v>375</v>
      </c>
      <c r="C17" s="223" cm="1">
        <f t="array" ref="C17">SUMPRODUCT( ($A17=$A$6:$A$11) * ($B17=$B$5:$M$5) * (C$14=$B$4:$M$4) * ($B$6:$M$11) )</f>
        <v>0</v>
      </c>
      <c r="D17" s="224" cm="1">
        <f t="array" ref="D17">SUMPRODUCT( ($A17=$A$6:$A$11) * ($B17=$B$5:$M$5) * (D$14=$B$4:$M$4) * ($B$6:$M$11) )</f>
        <v>0</v>
      </c>
      <c r="E17" s="220" cm="1">
        <f t="array" ref="E17">SUMPRODUCT( ($A17=$A$6:$A$11) * ($B17=$B$5:$M$5) * (E$14=$B$4:$M$4) * ($B$6:$M$11) )</f>
        <v>0</v>
      </c>
      <c r="F17" s="225" cm="1">
        <f t="array" ref="F17">SUMPRODUCT( ($A17=$A$6:$A$11) * ($B17=$B$5:$M$5) * (F$14=$B$4:$M$4) * ($B$6:$M$11) )</f>
        <v>0</v>
      </c>
      <c r="I17" s="81">
        <v>0</v>
      </c>
    </row>
    <row r="18" spans="1:14" x14ac:dyDescent="0.35">
      <c r="A18" s="101" t="s">
        <v>381</v>
      </c>
      <c r="B18" s="102" t="s">
        <v>375</v>
      </c>
      <c r="C18" s="223" cm="1">
        <f t="array" ref="C18">SUMPRODUCT( ($A18=$A$6:$A$11) * ($B18=$B$5:$M$5) * (C$14=$B$4:$M$4) * ($B$6:$M$11) )</f>
        <v>0</v>
      </c>
      <c r="D18" s="224" cm="1">
        <f t="array" ref="D18">SUMPRODUCT( ($A18=$A$6:$A$11) * ($B18=$B$5:$M$5) * (D$14=$B$4:$M$4) * ($B$6:$M$11) )</f>
        <v>0</v>
      </c>
      <c r="E18" s="224" cm="1">
        <f t="array" ref="E18">SUMPRODUCT( ($A18=$A$6:$A$11) * ($B18=$B$5:$M$5) * (E$14=$B$4:$M$4) * ($B$6:$M$11) )</f>
        <v>0</v>
      </c>
      <c r="F18" s="225" cm="1">
        <f t="array" ref="F18">SUMPRODUCT( ($A18=$A$6:$A$11) * ($B18=$B$5:$M$5) * (F$14=$B$4:$M$4) * ($B$6:$M$11) )</f>
        <v>0</v>
      </c>
      <c r="I18" s="81">
        <v>0</v>
      </c>
    </row>
    <row r="19" spans="1:14" x14ac:dyDescent="0.35">
      <c r="A19" s="101" t="s">
        <v>379</v>
      </c>
      <c r="B19" s="102" t="s">
        <v>375</v>
      </c>
      <c r="C19" s="223" cm="1">
        <f t="array" ref="C19">SUMPRODUCT( ($A19=$A$6:$A$11) * ($B19=$B$5:$M$5) * (C$14=$B$4:$M$4) * ($B$6:$M$11) )</f>
        <v>0</v>
      </c>
      <c r="D19" s="224" cm="1">
        <f t="array" ref="D19">SUMPRODUCT( ($A19=$A$6:$A$11) * ($B19=$B$5:$M$5) * (D$14=$B$4:$M$4) * ($B$6:$M$11) )</f>
        <v>0</v>
      </c>
      <c r="E19" s="224" cm="1">
        <f t="array" ref="E19">SUMPRODUCT( ($A19=$A$6:$A$11) * ($B19=$B$5:$M$5) * (E$14=$B$4:$M$4) * ($B$6:$M$11) )</f>
        <v>0</v>
      </c>
      <c r="F19" s="225" cm="1">
        <f t="array" ref="F19">SUMPRODUCT( ($A19=$A$6:$A$11) * ($B19=$B$5:$M$5) * (F$14=$B$4:$M$4) * ($B$6:$M$11) )</f>
        <v>0</v>
      </c>
      <c r="I19" s="81">
        <v>0</v>
      </c>
    </row>
    <row r="20" spans="1:14" x14ac:dyDescent="0.35">
      <c r="A20" s="101" t="s">
        <v>380</v>
      </c>
      <c r="B20" s="102" t="s">
        <v>375</v>
      </c>
      <c r="C20" s="223" cm="1">
        <f t="array" ref="C20">SUMPRODUCT( ($A20=$A$6:$A$11) * ($B20=$B$5:$M$5) * (C$14=$B$4:$M$4) * ($B$6:$M$11) )</f>
        <v>0</v>
      </c>
      <c r="D20" s="224" cm="1">
        <f t="array" ref="D20">SUMPRODUCT( ($A20=$A$6:$A$11) * ($B20=$B$5:$M$5) * (D$14=$B$4:$M$4) * ($B$6:$M$11) )</f>
        <v>0</v>
      </c>
      <c r="E20" s="224" cm="1">
        <f t="array" ref="E20">SUMPRODUCT( ($A20=$A$6:$A$11) * ($B20=$B$5:$M$5) * (E$14=$B$4:$M$4) * ($B$6:$M$11) )</f>
        <v>0</v>
      </c>
      <c r="F20" s="225" cm="1">
        <f t="array" ref="F20">SUMPRODUCT( ($A20=$A$6:$A$11) * ($B20=$B$5:$M$5) * (F$14=$B$4:$M$4) * ($B$6:$M$11) )</f>
        <v>0</v>
      </c>
      <c r="I20" s="81">
        <v>0</v>
      </c>
    </row>
    <row r="21" spans="1:14" x14ac:dyDescent="0.35">
      <c r="A21" s="101" t="s">
        <v>378</v>
      </c>
      <c r="B21" s="102" t="s">
        <v>376</v>
      </c>
      <c r="C21" s="223" cm="1">
        <f t="array" ref="C21">SUMPRODUCT( ($A21=$A$6:$A$11) * ($B21=$B$5:$M$5) * (C$14=$B$4:$M$4) * ($B$6:$M$11) )</f>
        <v>0</v>
      </c>
      <c r="D21" s="224" cm="1">
        <f t="array" ref="D21">SUMPRODUCT( ($A21=$A$6:$A$11) * ($B21=$B$5:$M$5) * (D$14=$B$4:$M$4) * ($B$6:$M$11) )</f>
        <v>0</v>
      </c>
      <c r="E21" s="224" cm="1">
        <f t="array" ref="E21">SUMPRODUCT( ($A21=$A$6:$A$11) * ($B21=$B$5:$M$5) * (E$14=$B$4:$M$4) * ($B$6:$M$11) )</f>
        <v>0</v>
      </c>
      <c r="F21" s="225" cm="1">
        <f t="array" ref="F21">SUMPRODUCT( ($A21=$A$6:$A$11) * ($B21=$B$5:$M$5) * (F$14=$B$4:$M$4) * ($B$6:$M$11) )</f>
        <v>0</v>
      </c>
    </row>
    <row r="22" spans="1:14" x14ac:dyDescent="0.35">
      <c r="A22" s="103" t="s">
        <v>275</v>
      </c>
      <c r="B22" s="104" t="s">
        <v>376</v>
      </c>
      <c r="C22" s="223" cm="1">
        <f t="array" ref="C22">SUMPRODUCT( ($A22=$A$6:$A$11) * ($B22=$B$5:$M$5) * (C$14=$B$4:$M$4) * ($B$6:$M$11) )</f>
        <v>0</v>
      </c>
      <c r="D22" s="226" cm="1">
        <f t="array" ref="D22">SUMPRODUCT( ($A22=$A$6:$A$11) * ($B22=$B$5:$M$5) * (D$14=$B$4:$M$4) * ($B$6:$M$11) )</f>
        <v>0</v>
      </c>
      <c r="E22" s="224" cm="1">
        <f t="array" ref="E22">SUMPRODUCT( ($A22=$A$6:$A$11) * ($B22=$B$5:$M$5) * (E$14=$B$4:$M$4) * ($B$6:$M$11) )</f>
        <v>0</v>
      </c>
      <c r="F22" s="225" cm="1">
        <f t="array" ref="F22">SUMPRODUCT( ($A22=$A$6:$A$11) * ($B22=$B$5:$M$5) * (F$14=$B$4:$M$4) * ($B$6:$M$11) )</f>
        <v>0</v>
      </c>
      <c r="I22" s="340" t="s">
        <v>867</v>
      </c>
    </row>
    <row r="23" spans="1:14" x14ac:dyDescent="0.35">
      <c r="A23" s="101" t="s">
        <v>235</v>
      </c>
      <c r="B23" s="102" t="s">
        <v>376</v>
      </c>
      <c r="C23" s="223" cm="1">
        <f t="array" ref="C23">SUMPRODUCT( ($A23=$A$6:$A$11) * ($B23=$B$5:$M$5) * (C$14=$B$4:$M$4) * ($B$6:$M$11) )</f>
        <v>0</v>
      </c>
      <c r="D23" s="224" cm="1">
        <f t="array" ref="D23">SUMPRODUCT( ($A23=$A$6:$A$11) * ($B23=$B$5:$M$5) * (D$14=$B$4:$M$4) * ($B$6:$M$11) )</f>
        <v>0</v>
      </c>
      <c r="E23" s="224" cm="1">
        <f t="array" ref="E23">SUMPRODUCT( ($A23=$A$6:$A$11) * ($B23=$B$5:$M$5) * (E$14=$B$4:$M$4) * ($B$6:$M$11) )</f>
        <v>0</v>
      </c>
      <c r="F23" s="225" cm="1">
        <f t="array" ref="F23">SUMPRODUCT( ($A23=$A$6:$A$11) * ($B23=$B$5:$M$5) * (F$14=$B$4:$M$4) * ($B$6:$M$11) )</f>
        <v>0</v>
      </c>
    </row>
    <row r="24" spans="1:14" x14ac:dyDescent="0.35">
      <c r="A24" s="101" t="s">
        <v>381</v>
      </c>
      <c r="B24" s="102" t="s">
        <v>376</v>
      </c>
      <c r="C24" s="223" cm="1">
        <f t="array" ref="C24">SUMPRODUCT( ($A24=$A$6:$A$11) * ($B24=$B$5:$M$5) * (C$14=$B$4:$M$4) * ($B$6:$M$11) )</f>
        <v>0</v>
      </c>
      <c r="D24" s="224" cm="1">
        <f t="array" ref="D24">SUMPRODUCT( ($A24=$A$6:$A$11) * ($B24=$B$5:$M$5) * (D$14=$B$4:$M$4) * ($B$6:$M$11) )</f>
        <v>0</v>
      </c>
      <c r="E24" s="224" cm="1">
        <f t="array" ref="E24">SUMPRODUCT( ($A24=$A$6:$A$11) * ($B24=$B$5:$M$5) * (E$14=$B$4:$M$4) * ($B$6:$M$11) )</f>
        <v>0</v>
      </c>
      <c r="F24" s="225" cm="1">
        <f t="array" ref="F24">SUMPRODUCT( ($A24=$A$6:$A$11) * ($B24=$B$5:$M$5) * (F$14=$B$4:$M$4) * ($B$6:$M$11) )</f>
        <v>0</v>
      </c>
    </row>
    <row r="25" spans="1:14" x14ac:dyDescent="0.35">
      <c r="A25" s="101" t="s">
        <v>379</v>
      </c>
      <c r="B25" s="102" t="s">
        <v>376</v>
      </c>
      <c r="C25" s="223" cm="1">
        <f t="array" ref="C25">SUMPRODUCT( ($A25=$A$6:$A$11) * ($B25=$B$5:$M$5) * (C$14=$B$4:$M$4) * ($B$6:$M$11) )</f>
        <v>0</v>
      </c>
      <c r="D25" s="224" cm="1">
        <f t="array" ref="D25">SUMPRODUCT( ($A25=$A$6:$A$11) * ($B25=$B$5:$M$5) * (D$14=$B$4:$M$4) * ($B$6:$M$11) )</f>
        <v>0</v>
      </c>
      <c r="E25" s="224" cm="1">
        <f t="array" ref="E25">SUMPRODUCT( ($A25=$A$6:$A$11) * ($B25=$B$5:$M$5) * (E$14=$B$4:$M$4) * ($B$6:$M$11) )</f>
        <v>0</v>
      </c>
      <c r="F25" s="225" cm="1">
        <f t="array" ref="F25">SUMPRODUCT( ($A25=$A$6:$A$11) * ($B25=$B$5:$M$5) * (F$14=$B$4:$M$4) * ($B$6:$M$11) )</f>
        <v>0</v>
      </c>
    </row>
    <row r="26" spans="1:14" x14ac:dyDescent="0.35">
      <c r="A26" s="101" t="s">
        <v>380</v>
      </c>
      <c r="B26" s="102" t="s">
        <v>376</v>
      </c>
      <c r="C26" s="223" cm="1">
        <f t="array" ref="C26">SUMPRODUCT( ($A26=$A$6:$A$11) * ($B26=$B$5:$M$5) * (C$14=$B$4:$M$4) * ($B$6:$M$11) )</f>
        <v>0</v>
      </c>
      <c r="D26" s="224" cm="1">
        <f t="array" ref="D26">SUMPRODUCT( ($A26=$A$6:$A$11) * ($B26=$B$5:$M$5) * (D$14=$B$4:$M$4) * ($B$6:$M$11) )</f>
        <v>0</v>
      </c>
      <c r="E26" s="224" cm="1">
        <f t="array" ref="E26">SUMPRODUCT( ($A26=$A$6:$A$11) * ($B26=$B$5:$M$5) * (E$14=$B$4:$M$4) * ($B$6:$M$11) )</f>
        <v>0</v>
      </c>
      <c r="F26" s="225" cm="1">
        <f t="array" ref="F26">SUMPRODUCT( ($A26=$A$6:$A$11) * ($B26=$B$5:$M$5) * (F$14=$B$4:$M$4) * ($B$6:$M$11) )</f>
        <v>0</v>
      </c>
    </row>
    <row r="27" spans="1:14" x14ac:dyDescent="0.35">
      <c r="A27" s="101" t="s">
        <v>378</v>
      </c>
      <c r="B27" s="102" t="s">
        <v>377</v>
      </c>
      <c r="C27" s="223" cm="1">
        <f t="array" ref="C27">SUMPRODUCT( ($A27=$A$6:$A$11) * ($B27=$B$5:$M$5) * (C$14=$B$4:$M$4) * ($B$6:$M$11) )</f>
        <v>0</v>
      </c>
      <c r="D27" s="224" cm="1">
        <f t="array" ref="D27">SUMPRODUCT( ($A27=$A$6:$A$11) * ($B27=$B$5:$M$5) * (D$14=$B$4:$M$4) * ($B$6:$M$11) )</f>
        <v>0</v>
      </c>
      <c r="E27" s="224" cm="1">
        <f t="array" ref="E27">SUMPRODUCT( ($A27=$A$6:$A$11) * ($B27=$B$5:$M$5) * (E$14=$B$4:$M$4) * ($B$6:$M$11) )</f>
        <v>0</v>
      </c>
      <c r="F27" s="225" cm="1">
        <f t="array" ref="F27">SUMPRODUCT( ($A27=$A$6:$A$11) * ($B27=$B$5:$M$5) * (F$14=$B$4:$M$4) * ($B$6:$M$11) )</f>
        <v>0</v>
      </c>
    </row>
    <row r="28" spans="1:14" x14ac:dyDescent="0.35">
      <c r="A28" s="101" t="s">
        <v>275</v>
      </c>
      <c r="B28" s="102" t="s">
        <v>377</v>
      </c>
      <c r="C28" s="223" cm="1">
        <f t="array" ref="C28">SUMPRODUCT( ($A28=$A$6:$A$11) * ($B28=$B$5:$M$5) * (C$14=$B$4:$M$4) * ($B$6:$M$11) )</f>
        <v>0</v>
      </c>
      <c r="D28" s="224" cm="1">
        <f t="array" ref="D28">SUMPRODUCT( ($A28=$A$6:$A$11) * ($B28=$B$5:$M$5) * (D$14=$B$4:$M$4) * ($B$6:$M$11) )</f>
        <v>0</v>
      </c>
      <c r="E28" s="224" cm="1">
        <f t="array" ref="E28">SUMPRODUCT( ($A28=$A$6:$A$11) * ($B28=$B$5:$M$5) * (E$14=$B$4:$M$4) * ($B$6:$M$11) )</f>
        <v>0</v>
      </c>
      <c r="F28" s="225" cm="1">
        <f t="array" ref="F28">SUMPRODUCT( ($A28=$A$6:$A$11) * ($B28=$B$5:$M$5) * (F$14=$B$4:$M$4) * ($B$6:$M$11) )</f>
        <v>0</v>
      </c>
    </row>
    <row r="29" spans="1:14" x14ac:dyDescent="0.35">
      <c r="A29" s="101" t="s">
        <v>235</v>
      </c>
      <c r="B29" s="102" t="s">
        <v>377</v>
      </c>
      <c r="C29" s="223" cm="1">
        <f t="array" ref="C29">SUMPRODUCT( ($A29=$A$6:$A$11) * ($B29=$B$5:$M$5) * (C$14=$B$4:$M$4) * ($B$6:$M$11) )</f>
        <v>0</v>
      </c>
      <c r="D29" s="224" cm="1">
        <f t="array" ref="D29">SUMPRODUCT( ($A29=$A$6:$A$11) * ($B29=$B$5:$M$5) * (D$14=$B$4:$M$4) * ($B$6:$M$11) )</f>
        <v>0</v>
      </c>
      <c r="E29" s="224" cm="1">
        <f t="array" ref="E29">SUMPRODUCT( ($A29=$A$6:$A$11) * ($B29=$B$5:$M$5) * (E$14=$B$4:$M$4) * ($B$6:$M$11) )</f>
        <v>0</v>
      </c>
      <c r="F29" s="225" cm="1">
        <f t="array" ref="F29">SUMPRODUCT( ($A29=$A$6:$A$11) * ($B29=$B$5:$M$5) * (F$14=$B$4:$M$4) * ($B$6:$M$11) )</f>
        <v>0</v>
      </c>
    </row>
    <row r="30" spans="1:14" x14ac:dyDescent="0.35">
      <c r="A30" s="101" t="s">
        <v>381</v>
      </c>
      <c r="B30" s="102" t="s">
        <v>377</v>
      </c>
      <c r="C30" s="223" cm="1">
        <f t="array" ref="C30">SUMPRODUCT( ($A30=$A$6:$A$11) * ($B30=$B$5:$M$5) * (C$14=$B$4:$M$4) * ($B$6:$M$11) )</f>
        <v>0</v>
      </c>
      <c r="D30" s="224" cm="1">
        <f t="array" ref="D30">SUMPRODUCT( ($A30=$A$6:$A$11) * ($B30=$B$5:$M$5) * (D$14=$B$4:$M$4) * ($B$6:$M$11) )</f>
        <v>0</v>
      </c>
      <c r="E30" s="224" cm="1">
        <f t="array" ref="E30">SUMPRODUCT( ($A30=$A$6:$A$11) * ($B30=$B$5:$M$5) * (E$14=$B$4:$M$4) * ($B$6:$M$11) )</f>
        <v>0</v>
      </c>
      <c r="F30" s="225" cm="1">
        <f t="array" ref="F30">SUMPRODUCT( ($A30=$A$6:$A$11) * ($B30=$B$5:$M$5) * (F$14=$B$4:$M$4) * ($B$6:$M$11) )</f>
        <v>0</v>
      </c>
    </row>
    <row r="31" spans="1:14" x14ac:dyDescent="0.35">
      <c r="A31" s="101" t="s">
        <v>379</v>
      </c>
      <c r="B31" s="102" t="s">
        <v>377</v>
      </c>
      <c r="C31" s="223" cm="1">
        <f t="array" ref="C31">SUMPRODUCT( ($A31=$A$6:$A$11) * ($B31=$B$5:$M$5) * (C$14=$B$4:$M$4) * ($B$6:$M$11) )</f>
        <v>0</v>
      </c>
      <c r="D31" s="224" cm="1">
        <f t="array" ref="D31">SUMPRODUCT( ($A31=$A$6:$A$11) * ($B31=$B$5:$M$5) * (D$14=$B$4:$M$4) * ($B$6:$M$11) )</f>
        <v>0</v>
      </c>
      <c r="E31" s="224" cm="1">
        <f t="array" ref="E31">SUMPRODUCT( ($A31=$A$6:$A$11) * ($B31=$B$5:$M$5) * (E$14=$B$4:$M$4) * ($B$6:$M$11) )</f>
        <v>0</v>
      </c>
      <c r="F31" s="225" cm="1">
        <f t="array" ref="F31">SUMPRODUCT( ($A31=$A$6:$A$11) * ($B31=$B$5:$M$5) * (F$14=$B$4:$M$4) * ($B$6:$M$11) )</f>
        <v>0</v>
      </c>
      <c r="K31" s="340" t="s">
        <v>868</v>
      </c>
    </row>
    <row r="32" spans="1:14" ht="13.15" thickBot="1" x14ac:dyDescent="0.4">
      <c r="A32" s="105" t="s">
        <v>380</v>
      </c>
      <c r="B32" s="106" t="s">
        <v>377</v>
      </c>
      <c r="C32" s="227" cm="1">
        <f t="array" ref="C32">SUMPRODUCT( ($A32=$A$6:$A$11) * ($B32=$B$5:$M$5) * (C$14=$B$4:$M$4) * ($B$6:$M$11) )</f>
        <v>0</v>
      </c>
      <c r="D32" s="228" cm="1">
        <f t="array" ref="D32">SUMPRODUCT( ($A32=$A$6:$A$11) * ($B32=$B$5:$M$5) * (D$14=$B$4:$M$4) * ($B$6:$M$11) )</f>
        <v>0</v>
      </c>
      <c r="E32" s="228" cm="1">
        <f t="array" ref="E32">SUMPRODUCT( ($A32=$A$6:$A$11) * ($B32=$B$5:$M$5) * (E$14=$B$4:$M$4) * ($B$6:$M$11) )</f>
        <v>0</v>
      </c>
      <c r="F32" s="229" cm="1">
        <f t="array" ref="F32">SUMPRODUCT( ($A32=$A$6:$A$11) * ($B32=$B$5:$M$5) * (F$14=$B$4:$M$4) * ($B$6:$M$11) )</f>
        <v>0</v>
      </c>
      <c r="K32" s="340" t="s">
        <v>869</v>
      </c>
      <c r="L32" s="81">
        <v>5</v>
      </c>
      <c r="M32" s="81">
        <v>10</v>
      </c>
      <c r="N32" s="81" cm="1">
        <f t="array" ref="N32:N34">L32:L34*M32:M34</f>
        <v>50</v>
      </c>
    </row>
    <row r="33" spans="2:14" x14ac:dyDescent="0.35">
      <c r="K33" s="340" t="s">
        <v>870</v>
      </c>
      <c r="L33" s="81">
        <v>7</v>
      </c>
      <c r="M33" s="81">
        <v>15</v>
      </c>
      <c r="N33" s="81">
        <v>105</v>
      </c>
    </row>
    <row r="34" spans="2:14" x14ac:dyDescent="0.35">
      <c r="K34" s="340" t="s">
        <v>871</v>
      </c>
      <c r="L34" s="81">
        <v>20</v>
      </c>
      <c r="M34" s="81">
        <v>2</v>
      </c>
      <c r="N34" s="81">
        <v>40</v>
      </c>
    </row>
    <row r="35" spans="2:14" ht="13.5" thickBot="1" x14ac:dyDescent="0.45">
      <c r="N35" s="341">
        <f>SUM(_xlfn.ANCHORARRAY(N32))</f>
        <v>195</v>
      </c>
    </row>
    <row r="36" spans="2:14" ht="13.5" thickBot="1" x14ac:dyDescent="0.45">
      <c r="B36" s="107" t="s">
        <v>10</v>
      </c>
      <c r="C36" s="108"/>
      <c r="D36" s="108"/>
      <c r="E36" s="108"/>
      <c r="F36" s="108"/>
      <c r="G36" s="109"/>
    </row>
    <row r="37" spans="2:14" outlineLevel="1" x14ac:dyDescent="0.35">
      <c r="B37" s="110"/>
      <c r="G37" s="111"/>
    </row>
    <row r="38" spans="2:14" outlineLevel="1" x14ac:dyDescent="0.35">
      <c r="B38" s="110" t="s">
        <v>384</v>
      </c>
      <c r="G38" s="111"/>
    </row>
    <row r="39" spans="2:14" outlineLevel="1" x14ac:dyDescent="0.35">
      <c r="B39" s="110" t="s">
        <v>385</v>
      </c>
      <c r="G39" s="111"/>
    </row>
    <row r="40" spans="2:14" outlineLevel="1" x14ac:dyDescent="0.35">
      <c r="B40" s="110" t="s">
        <v>386</v>
      </c>
      <c r="G40" s="111"/>
    </row>
    <row r="41" spans="2:14" outlineLevel="1" x14ac:dyDescent="0.35">
      <c r="B41" s="238" t="s">
        <v>387</v>
      </c>
      <c r="G41" s="111"/>
    </row>
    <row r="42" spans="2:14" outlineLevel="1" x14ac:dyDescent="0.35">
      <c r="B42" s="238" t="s">
        <v>388</v>
      </c>
      <c r="G42" s="111"/>
    </row>
    <row r="43" spans="2:14" outlineLevel="1" x14ac:dyDescent="0.35">
      <c r="B43" s="110" t="s">
        <v>389</v>
      </c>
      <c r="G43" s="111"/>
    </row>
    <row r="44" spans="2:14" outlineLevel="1" x14ac:dyDescent="0.35">
      <c r="B44" s="110" t="s">
        <v>390</v>
      </c>
      <c r="G44" s="111"/>
    </row>
    <row r="45" spans="2:14" outlineLevel="1" x14ac:dyDescent="0.35">
      <c r="B45" s="110" t="s">
        <v>391</v>
      </c>
      <c r="G45" s="111"/>
    </row>
    <row r="46" spans="2:14" ht="13.15" outlineLevel="1" thickBot="1" x14ac:dyDescent="0.4">
      <c r="B46" s="112"/>
      <c r="C46" s="113"/>
      <c r="D46" s="113"/>
      <c r="E46" s="113"/>
      <c r="F46" s="113"/>
      <c r="G46" s="114"/>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997361-8804-4BBB-BF05-4DB709DB743F}">
  <dimension ref="A1:V46"/>
  <sheetViews>
    <sheetView showGridLines="0" topLeftCell="A10" zoomScale="120" workbookViewId="0">
      <selection activeCell="C15" sqref="C15"/>
    </sheetView>
  </sheetViews>
  <sheetFormatPr defaultColWidth="8.86328125" defaultRowHeight="12.75" outlineLevelRow="1" x14ac:dyDescent="0.35"/>
  <cols>
    <col min="1" max="1" width="15.796875" style="81" customWidth="1"/>
    <col min="2" max="13" width="10.796875" style="81" customWidth="1"/>
    <col min="14" max="16384" width="8.86328125" style="81"/>
  </cols>
  <sheetData>
    <row r="1" spans="1:22" s="76" customFormat="1" ht="13.9" x14ac:dyDescent="0.35">
      <c r="A1" s="74" t="s">
        <v>369</v>
      </c>
      <c r="B1" s="75"/>
      <c r="C1" s="75"/>
      <c r="D1" s="75"/>
    </row>
    <row r="4" spans="1:22" ht="13.15" x14ac:dyDescent="0.35">
      <c r="A4" s="77" t="s">
        <v>370</v>
      </c>
      <c r="B4" s="78" t="s">
        <v>371</v>
      </c>
      <c r="C4" s="78" t="s">
        <v>371</v>
      </c>
      <c r="D4" s="79" t="s">
        <v>371</v>
      </c>
      <c r="E4" s="78" t="s">
        <v>372</v>
      </c>
      <c r="F4" s="78" t="s">
        <v>372</v>
      </c>
      <c r="G4" s="79" t="s">
        <v>372</v>
      </c>
      <c r="H4" s="80" t="s">
        <v>224</v>
      </c>
      <c r="I4" s="78" t="s">
        <v>224</v>
      </c>
      <c r="J4" s="79" t="s">
        <v>224</v>
      </c>
      <c r="K4" s="78" t="s">
        <v>373</v>
      </c>
      <c r="L4" s="78" t="s">
        <v>373</v>
      </c>
      <c r="M4" s="79" t="s">
        <v>373</v>
      </c>
    </row>
    <row r="5" spans="1:22" ht="13.15" x14ac:dyDescent="0.35">
      <c r="A5" s="77" t="s">
        <v>374</v>
      </c>
      <c r="B5" s="82" t="s">
        <v>375</v>
      </c>
      <c r="C5" s="82" t="s">
        <v>376</v>
      </c>
      <c r="D5" s="83" t="s">
        <v>377</v>
      </c>
      <c r="E5" s="82" t="s">
        <v>375</v>
      </c>
      <c r="F5" s="82" t="s">
        <v>376</v>
      </c>
      <c r="G5" s="83" t="s">
        <v>377</v>
      </c>
      <c r="H5" s="84" t="s">
        <v>375</v>
      </c>
      <c r="I5" s="82" t="s">
        <v>376</v>
      </c>
      <c r="J5" s="83" t="s">
        <v>377</v>
      </c>
      <c r="K5" s="82" t="s">
        <v>375</v>
      </c>
      <c r="L5" s="82" t="s">
        <v>376</v>
      </c>
      <c r="M5" s="83" t="s">
        <v>377</v>
      </c>
    </row>
    <row r="6" spans="1:22" ht="13.15" x14ac:dyDescent="0.35">
      <c r="A6" s="85" t="s">
        <v>378</v>
      </c>
      <c r="B6" s="86">
        <v>67</v>
      </c>
      <c r="C6" s="86">
        <v>145</v>
      </c>
      <c r="D6" s="87">
        <v>254</v>
      </c>
      <c r="E6" s="86">
        <v>385</v>
      </c>
      <c r="F6" s="86">
        <v>419</v>
      </c>
      <c r="G6" s="87">
        <v>530</v>
      </c>
      <c r="H6" s="88">
        <v>666</v>
      </c>
      <c r="I6" s="86">
        <v>751</v>
      </c>
      <c r="J6" s="87">
        <v>852</v>
      </c>
      <c r="K6" s="86">
        <v>971</v>
      </c>
      <c r="L6" s="86">
        <v>1004</v>
      </c>
      <c r="M6" s="87">
        <v>1159</v>
      </c>
    </row>
    <row r="7" spans="1:22" ht="13.15" x14ac:dyDescent="0.35">
      <c r="A7" s="89" t="s">
        <v>379</v>
      </c>
      <c r="B7" s="86">
        <v>54</v>
      </c>
      <c r="C7" s="86">
        <v>190</v>
      </c>
      <c r="D7" s="87">
        <v>222</v>
      </c>
      <c r="E7" s="86">
        <v>366</v>
      </c>
      <c r="F7" s="86">
        <v>432</v>
      </c>
      <c r="G7" s="87">
        <v>510</v>
      </c>
      <c r="H7" s="86">
        <v>623</v>
      </c>
      <c r="I7" s="86">
        <v>790</v>
      </c>
      <c r="J7" s="87">
        <v>841</v>
      </c>
      <c r="K7" s="86">
        <v>926</v>
      </c>
      <c r="L7" s="86">
        <v>1033</v>
      </c>
      <c r="M7" s="87">
        <v>1155</v>
      </c>
    </row>
    <row r="8" spans="1:22" ht="13.15" x14ac:dyDescent="0.35">
      <c r="A8" s="89" t="s">
        <v>380</v>
      </c>
      <c r="B8" s="86">
        <v>10</v>
      </c>
      <c r="C8" s="86">
        <v>159</v>
      </c>
      <c r="D8" s="87">
        <v>240</v>
      </c>
      <c r="E8" s="86">
        <v>375</v>
      </c>
      <c r="F8" s="86">
        <v>449</v>
      </c>
      <c r="G8" s="87">
        <v>600</v>
      </c>
      <c r="H8" s="86">
        <v>621</v>
      </c>
      <c r="I8" s="86">
        <v>728</v>
      </c>
      <c r="J8" s="87">
        <v>817</v>
      </c>
      <c r="K8" s="86">
        <v>959</v>
      </c>
      <c r="L8" s="86">
        <v>1089</v>
      </c>
      <c r="M8" s="87">
        <v>1182</v>
      </c>
    </row>
    <row r="9" spans="1:22" ht="13.15" x14ac:dyDescent="0.35">
      <c r="A9" s="89" t="s">
        <v>275</v>
      </c>
      <c r="B9" s="86">
        <v>6</v>
      </c>
      <c r="C9" s="86">
        <v>116</v>
      </c>
      <c r="D9" s="87">
        <v>219</v>
      </c>
      <c r="E9" s="86">
        <v>354</v>
      </c>
      <c r="F9" s="86">
        <v>489</v>
      </c>
      <c r="G9" s="87">
        <v>565</v>
      </c>
      <c r="H9" s="86">
        <v>622</v>
      </c>
      <c r="I9" s="86">
        <v>741</v>
      </c>
      <c r="J9" s="87">
        <v>825</v>
      </c>
      <c r="K9" s="86">
        <v>958</v>
      </c>
      <c r="L9" s="90">
        <v>1080</v>
      </c>
      <c r="M9" s="87">
        <v>1182</v>
      </c>
    </row>
    <row r="10" spans="1:22" ht="13.15" x14ac:dyDescent="0.35">
      <c r="A10" s="89" t="s">
        <v>381</v>
      </c>
      <c r="B10" s="86">
        <v>63</v>
      </c>
      <c r="C10" s="86">
        <v>115</v>
      </c>
      <c r="D10" s="87">
        <v>298</v>
      </c>
      <c r="E10" s="86">
        <v>316</v>
      </c>
      <c r="F10" s="86">
        <v>470</v>
      </c>
      <c r="G10" s="87">
        <v>556</v>
      </c>
      <c r="H10" s="86">
        <v>695</v>
      </c>
      <c r="I10" s="86">
        <v>748</v>
      </c>
      <c r="J10" s="87">
        <v>834</v>
      </c>
      <c r="K10" s="86">
        <v>999</v>
      </c>
      <c r="L10" s="86">
        <v>1047</v>
      </c>
      <c r="M10" s="87">
        <v>1140</v>
      </c>
    </row>
    <row r="11" spans="1:22" ht="13.15" x14ac:dyDescent="0.35">
      <c r="A11" s="91" t="s">
        <v>235</v>
      </c>
      <c r="B11" s="92">
        <v>13</v>
      </c>
      <c r="C11" s="92">
        <v>168</v>
      </c>
      <c r="D11" s="93">
        <v>293</v>
      </c>
      <c r="E11" s="92">
        <v>331</v>
      </c>
      <c r="F11" s="92">
        <v>427</v>
      </c>
      <c r="G11" s="93">
        <v>535</v>
      </c>
      <c r="H11" s="92">
        <v>630</v>
      </c>
      <c r="I11" s="92">
        <v>727</v>
      </c>
      <c r="J11" s="93">
        <v>891</v>
      </c>
      <c r="K11" s="92">
        <v>992</v>
      </c>
      <c r="L11" s="92">
        <v>1070</v>
      </c>
      <c r="M11" s="93">
        <v>1110</v>
      </c>
    </row>
    <row r="14" spans="1:22" ht="13.5" thickBot="1" x14ac:dyDescent="0.4">
      <c r="A14" s="94" t="s">
        <v>382</v>
      </c>
      <c r="B14" s="94" t="s">
        <v>383</v>
      </c>
      <c r="C14" s="95" t="s">
        <v>224</v>
      </c>
      <c r="D14" s="96" t="s">
        <v>371</v>
      </c>
      <c r="E14" s="97" t="s">
        <v>373</v>
      </c>
      <c r="F14" s="96" t="s">
        <v>372</v>
      </c>
      <c r="I14" s="340"/>
    </row>
    <row r="15" spans="1:22" x14ac:dyDescent="0.35">
      <c r="A15" s="98" t="s">
        <v>378</v>
      </c>
      <c r="B15" s="99" t="s">
        <v>375</v>
      </c>
      <c r="C15" s="220" cm="1">
        <f t="array" ref="C15">SUMPRODUCT( ($A15=$A$6:$A$11) * ($B15=$B$5:$M$5) * (C$14=$B$4:$M$4) * ($B$6:$M$11) )</f>
        <v>666</v>
      </c>
      <c r="D15" s="220" cm="1">
        <f t="array" ref="D15">SUMPRODUCT( ($A15=$A$6:$A$11) * ($B15=$B$5:$M$5) * (D$14=$B$4:$M$4) * ($B$6:$M$11) )</f>
        <v>67</v>
      </c>
      <c r="E15" s="221" cm="1">
        <f t="array" ref="E15">SUMPRODUCT( ($A15=$A$6:$A$11) * ($B15=$B$5:$M$5) * (E$14=$B$4:$M$4) * ($B$6:$M$11) )</f>
        <v>971</v>
      </c>
      <c r="F15" s="222" cm="1">
        <f t="array" ref="F15">SUMPRODUCT( ($A15=$A$6:$A$11) * ($B15=$B$5:$M$5) * (F$14=$B$4:$M$4) * ($B$6:$M$11) )</f>
        <v>385</v>
      </c>
      <c r="H15" s="100"/>
      <c r="I15" s="81" cm="1">
        <f t="array" ref="I15:I20">--(A15=A6:A11)</f>
        <v>1</v>
      </c>
      <c r="K15" s="81" cm="1">
        <f t="array" ref="K15:V15">--(B15=B5:M5)</f>
        <v>1</v>
      </c>
      <c r="L15" s="81">
        <v>0</v>
      </c>
      <c r="M15" s="81">
        <v>0</v>
      </c>
      <c r="N15" s="81">
        <v>1</v>
      </c>
      <c r="O15" s="81">
        <v>0</v>
      </c>
      <c r="P15" s="81">
        <v>0</v>
      </c>
      <c r="Q15" s="81">
        <v>1</v>
      </c>
      <c r="R15" s="81">
        <v>0</v>
      </c>
      <c r="S15" s="81">
        <v>0</v>
      </c>
      <c r="T15" s="81">
        <v>1</v>
      </c>
      <c r="U15" s="81">
        <v>0</v>
      </c>
      <c r="V15" s="81">
        <v>0</v>
      </c>
    </row>
    <row r="16" spans="1:22" ht="13.15" thickBot="1" x14ac:dyDescent="0.4">
      <c r="A16" s="101" t="s">
        <v>275</v>
      </c>
      <c r="B16" s="102" t="s">
        <v>375</v>
      </c>
      <c r="C16" s="223" cm="1">
        <f t="array" ref="C16">SUMPRODUCT( ($A16=$A$6:$A$11) * ($B16=$B$5:$M$5) * (C$14=$B$4:$M$4) * ($B$6:$M$11) )</f>
        <v>622</v>
      </c>
      <c r="D16" s="224" cm="1">
        <f t="array" ref="D16">SUMPRODUCT( ($A16=$A$6:$A$11) * ($B16=$B$5:$M$5) * (D$14=$B$4:$M$4) * ($B$6:$M$11) )</f>
        <v>6</v>
      </c>
      <c r="E16" s="224" cm="1">
        <f t="array" ref="E16">SUMPRODUCT( ($A16=$A$6:$A$11) * ($B16=$B$5:$M$5) * (E$14=$B$4:$M$4) * ($B$6:$M$11) )</f>
        <v>958</v>
      </c>
      <c r="F16" s="225" cm="1">
        <f t="array" ref="F16">SUMPRODUCT( ($A16=$A$6:$A$11) * ($B16=$B$5:$M$5) * (F$14=$B$4:$M$4) * ($B$6:$M$11) )</f>
        <v>354</v>
      </c>
      <c r="I16" s="81">
        <v>0</v>
      </c>
      <c r="K16" s="81" cm="1">
        <f t="array" ref="K16:V16">--(C14=B4:M4)</f>
        <v>0</v>
      </c>
      <c r="L16" s="81">
        <v>0</v>
      </c>
      <c r="M16" s="81">
        <v>0</v>
      </c>
      <c r="N16" s="81">
        <v>0</v>
      </c>
      <c r="O16" s="81">
        <v>0</v>
      </c>
      <c r="P16" s="81">
        <v>0</v>
      </c>
      <c r="Q16" s="81">
        <v>1</v>
      </c>
      <c r="R16" s="81">
        <v>1</v>
      </c>
      <c r="S16" s="81">
        <v>1</v>
      </c>
      <c r="T16" s="81">
        <v>0</v>
      </c>
      <c r="U16" s="81">
        <v>0</v>
      </c>
      <c r="V16" s="81">
        <v>0</v>
      </c>
    </row>
    <row r="17" spans="1:14" x14ac:dyDescent="0.35">
      <c r="A17" s="101" t="s">
        <v>235</v>
      </c>
      <c r="B17" s="102" t="s">
        <v>375</v>
      </c>
      <c r="C17" s="223" cm="1">
        <f t="array" ref="C17">SUMPRODUCT( ($A17=$A$6:$A$11) * ($B17=$B$5:$M$5) * (C$14=$B$4:$M$4) * ($B$6:$M$11) )</f>
        <v>630</v>
      </c>
      <c r="D17" s="224" cm="1">
        <f t="array" ref="D17">SUMPRODUCT( ($A17=$A$6:$A$11) * ($B17=$B$5:$M$5) * (D$14=$B$4:$M$4) * ($B$6:$M$11) )</f>
        <v>13</v>
      </c>
      <c r="E17" s="220" cm="1">
        <f t="array" ref="E17">SUMPRODUCT( ($A17=$A$6:$A$11) * ($B17=$B$5:$M$5) * (E$14=$B$4:$M$4) * ($B$6:$M$11) )</f>
        <v>992</v>
      </c>
      <c r="F17" s="225" cm="1">
        <f t="array" ref="F17">SUMPRODUCT( ($A17=$A$6:$A$11) * ($B17=$B$5:$M$5) * (F$14=$B$4:$M$4) * ($B$6:$M$11) )</f>
        <v>331</v>
      </c>
      <c r="I17" s="81">
        <v>0</v>
      </c>
    </row>
    <row r="18" spans="1:14" x14ac:dyDescent="0.35">
      <c r="A18" s="101" t="s">
        <v>381</v>
      </c>
      <c r="B18" s="102" t="s">
        <v>375</v>
      </c>
      <c r="C18" s="223" cm="1">
        <f t="array" ref="C18">SUMPRODUCT( ($A18=$A$6:$A$11) * ($B18=$B$5:$M$5) * (C$14=$B$4:$M$4) * ($B$6:$M$11) )</f>
        <v>695</v>
      </c>
      <c r="D18" s="224" cm="1">
        <f t="array" ref="D18">SUMPRODUCT( ($A18=$A$6:$A$11) * ($B18=$B$5:$M$5) * (D$14=$B$4:$M$4) * ($B$6:$M$11) )</f>
        <v>63</v>
      </c>
      <c r="E18" s="224" cm="1">
        <f t="array" ref="E18">SUMPRODUCT( ($A18=$A$6:$A$11) * ($B18=$B$5:$M$5) * (E$14=$B$4:$M$4) * ($B$6:$M$11) )</f>
        <v>999</v>
      </c>
      <c r="F18" s="225" cm="1">
        <f t="array" ref="F18">SUMPRODUCT( ($A18=$A$6:$A$11) * ($B18=$B$5:$M$5) * (F$14=$B$4:$M$4) * ($B$6:$M$11) )</f>
        <v>316</v>
      </c>
      <c r="I18" s="81">
        <v>0</v>
      </c>
    </row>
    <row r="19" spans="1:14" x14ac:dyDescent="0.35">
      <c r="A19" s="101" t="s">
        <v>379</v>
      </c>
      <c r="B19" s="102" t="s">
        <v>375</v>
      </c>
      <c r="C19" s="223" cm="1">
        <f t="array" ref="C19">SUMPRODUCT( ($A19=$A$6:$A$11) * ($B19=$B$5:$M$5) * (C$14=$B$4:$M$4) * ($B$6:$M$11) )</f>
        <v>623</v>
      </c>
      <c r="D19" s="224" cm="1">
        <f t="array" ref="D19">SUMPRODUCT( ($A19=$A$6:$A$11) * ($B19=$B$5:$M$5) * (D$14=$B$4:$M$4) * ($B$6:$M$11) )</f>
        <v>54</v>
      </c>
      <c r="E19" s="224" cm="1">
        <f t="array" ref="E19">SUMPRODUCT( ($A19=$A$6:$A$11) * ($B19=$B$5:$M$5) * (E$14=$B$4:$M$4) * ($B$6:$M$11) )</f>
        <v>926</v>
      </c>
      <c r="F19" s="225" cm="1">
        <f t="array" ref="F19">SUMPRODUCT( ($A19=$A$6:$A$11) * ($B19=$B$5:$M$5) * (F$14=$B$4:$M$4) * ($B$6:$M$11) )</f>
        <v>366</v>
      </c>
      <c r="I19" s="81">
        <v>0</v>
      </c>
    </row>
    <row r="20" spans="1:14" x14ac:dyDescent="0.35">
      <c r="A20" s="101" t="s">
        <v>380</v>
      </c>
      <c r="B20" s="102" t="s">
        <v>375</v>
      </c>
      <c r="C20" s="223" cm="1">
        <f t="array" ref="C20">SUMPRODUCT( ($A20=$A$6:$A$11) * ($B20=$B$5:$M$5) * (C$14=$B$4:$M$4) * ($B$6:$M$11) )</f>
        <v>621</v>
      </c>
      <c r="D20" s="224" cm="1">
        <f t="array" ref="D20">SUMPRODUCT( ($A20=$A$6:$A$11) * ($B20=$B$5:$M$5) * (D$14=$B$4:$M$4) * ($B$6:$M$11) )</f>
        <v>10</v>
      </c>
      <c r="E20" s="224" cm="1">
        <f t="array" ref="E20">SUMPRODUCT( ($A20=$A$6:$A$11) * ($B20=$B$5:$M$5) * (E$14=$B$4:$M$4) * ($B$6:$M$11) )</f>
        <v>959</v>
      </c>
      <c r="F20" s="225" cm="1">
        <f t="array" ref="F20">SUMPRODUCT( ($A20=$A$6:$A$11) * ($B20=$B$5:$M$5) * (F$14=$B$4:$M$4) * ($B$6:$M$11) )</f>
        <v>375</v>
      </c>
      <c r="I20" s="81">
        <v>0</v>
      </c>
    </row>
    <row r="21" spans="1:14" x14ac:dyDescent="0.35">
      <c r="A21" s="101" t="s">
        <v>378</v>
      </c>
      <c r="B21" s="102" t="s">
        <v>376</v>
      </c>
      <c r="C21" s="223" cm="1">
        <f t="array" ref="C21">SUMPRODUCT( ($A21=$A$6:$A$11) * ($B21=$B$5:$M$5) * (C$14=$B$4:$M$4) * ($B$6:$M$11) )</f>
        <v>751</v>
      </c>
      <c r="D21" s="224" cm="1">
        <f t="array" ref="D21">SUMPRODUCT( ($A21=$A$6:$A$11) * ($B21=$B$5:$M$5) * (D$14=$B$4:$M$4) * ($B$6:$M$11) )</f>
        <v>145</v>
      </c>
      <c r="E21" s="224" cm="1">
        <f t="array" ref="E21">SUMPRODUCT( ($A21=$A$6:$A$11) * ($B21=$B$5:$M$5) * (E$14=$B$4:$M$4) * ($B$6:$M$11) )</f>
        <v>1004</v>
      </c>
      <c r="F21" s="225" cm="1">
        <f t="array" ref="F21">SUMPRODUCT( ($A21=$A$6:$A$11) * ($B21=$B$5:$M$5) * (F$14=$B$4:$M$4) * ($B$6:$M$11) )</f>
        <v>419</v>
      </c>
    </row>
    <row r="22" spans="1:14" x14ac:dyDescent="0.35">
      <c r="A22" s="103" t="s">
        <v>275</v>
      </c>
      <c r="B22" s="104" t="s">
        <v>376</v>
      </c>
      <c r="C22" s="223" cm="1">
        <f t="array" ref="C22">SUMPRODUCT( ($A22=$A$6:$A$11) * ($B22=$B$5:$M$5) * (C$14=$B$4:$M$4) * ($B$6:$M$11) )</f>
        <v>741</v>
      </c>
      <c r="D22" s="226" cm="1">
        <f t="array" ref="D22">SUMPRODUCT( ($A22=$A$6:$A$11) * ($B22=$B$5:$M$5) * (D$14=$B$4:$M$4) * ($B$6:$M$11) )</f>
        <v>116</v>
      </c>
      <c r="E22" s="224" cm="1">
        <f t="array" ref="E22">SUMPRODUCT( ($A22=$A$6:$A$11) * ($B22=$B$5:$M$5) * (E$14=$B$4:$M$4) * ($B$6:$M$11) )</f>
        <v>1080</v>
      </c>
      <c r="F22" s="225" cm="1">
        <f t="array" ref="F22">SUMPRODUCT( ($A22=$A$6:$A$11) * ($B22=$B$5:$M$5) * (F$14=$B$4:$M$4) * ($B$6:$M$11) )</f>
        <v>489</v>
      </c>
      <c r="I22" s="340" t="s">
        <v>867</v>
      </c>
    </row>
    <row r="23" spans="1:14" x14ac:dyDescent="0.35">
      <c r="A23" s="101" t="s">
        <v>235</v>
      </c>
      <c r="B23" s="102" t="s">
        <v>376</v>
      </c>
      <c r="C23" s="223" cm="1">
        <f t="array" ref="C23">SUMPRODUCT( ($A23=$A$6:$A$11) * ($B23=$B$5:$M$5) * (C$14=$B$4:$M$4) * ($B$6:$M$11) )</f>
        <v>727</v>
      </c>
      <c r="D23" s="224" cm="1">
        <f t="array" ref="D23">SUMPRODUCT( ($A23=$A$6:$A$11) * ($B23=$B$5:$M$5) * (D$14=$B$4:$M$4) * ($B$6:$M$11) )</f>
        <v>168</v>
      </c>
      <c r="E23" s="224" cm="1">
        <f t="array" ref="E23">SUMPRODUCT( ($A23=$A$6:$A$11) * ($B23=$B$5:$M$5) * (E$14=$B$4:$M$4) * ($B$6:$M$11) )</f>
        <v>1070</v>
      </c>
      <c r="F23" s="225" cm="1">
        <f t="array" ref="F23">SUMPRODUCT( ($A23=$A$6:$A$11) * ($B23=$B$5:$M$5) * (F$14=$B$4:$M$4) * ($B$6:$M$11) )</f>
        <v>427</v>
      </c>
    </row>
    <row r="24" spans="1:14" x14ac:dyDescent="0.35">
      <c r="A24" s="101" t="s">
        <v>381</v>
      </c>
      <c r="B24" s="102" t="s">
        <v>376</v>
      </c>
      <c r="C24" s="223" cm="1">
        <f t="array" ref="C24">SUMPRODUCT( ($A24=$A$6:$A$11) * ($B24=$B$5:$M$5) * (C$14=$B$4:$M$4) * ($B$6:$M$11) )</f>
        <v>748</v>
      </c>
      <c r="D24" s="224" cm="1">
        <f t="array" ref="D24">SUMPRODUCT( ($A24=$A$6:$A$11) * ($B24=$B$5:$M$5) * (D$14=$B$4:$M$4) * ($B$6:$M$11) )</f>
        <v>115</v>
      </c>
      <c r="E24" s="224" cm="1">
        <f t="array" ref="E24">SUMPRODUCT( ($A24=$A$6:$A$11) * ($B24=$B$5:$M$5) * (E$14=$B$4:$M$4) * ($B$6:$M$11) )</f>
        <v>1047</v>
      </c>
      <c r="F24" s="225" cm="1">
        <f t="array" ref="F24">SUMPRODUCT( ($A24=$A$6:$A$11) * ($B24=$B$5:$M$5) * (F$14=$B$4:$M$4) * ($B$6:$M$11) )</f>
        <v>470</v>
      </c>
    </row>
    <row r="25" spans="1:14" x14ac:dyDescent="0.35">
      <c r="A25" s="101" t="s">
        <v>379</v>
      </c>
      <c r="B25" s="102" t="s">
        <v>376</v>
      </c>
      <c r="C25" s="223" cm="1">
        <f t="array" ref="C25">SUMPRODUCT( ($A25=$A$6:$A$11) * ($B25=$B$5:$M$5) * (C$14=$B$4:$M$4) * ($B$6:$M$11) )</f>
        <v>790</v>
      </c>
      <c r="D25" s="224" cm="1">
        <f t="array" ref="D25">SUMPRODUCT( ($A25=$A$6:$A$11) * ($B25=$B$5:$M$5) * (D$14=$B$4:$M$4) * ($B$6:$M$11) )</f>
        <v>190</v>
      </c>
      <c r="E25" s="224" cm="1">
        <f t="array" ref="E25">SUMPRODUCT( ($A25=$A$6:$A$11) * ($B25=$B$5:$M$5) * (E$14=$B$4:$M$4) * ($B$6:$M$11) )</f>
        <v>1033</v>
      </c>
      <c r="F25" s="225" cm="1">
        <f t="array" ref="F25">SUMPRODUCT( ($A25=$A$6:$A$11) * ($B25=$B$5:$M$5) * (F$14=$B$4:$M$4) * ($B$6:$M$11) )</f>
        <v>432</v>
      </c>
    </row>
    <row r="26" spans="1:14" x14ac:dyDescent="0.35">
      <c r="A26" s="101" t="s">
        <v>380</v>
      </c>
      <c r="B26" s="102" t="s">
        <v>376</v>
      </c>
      <c r="C26" s="223" cm="1">
        <f t="array" ref="C26">SUMPRODUCT( ($A26=$A$6:$A$11) * ($B26=$B$5:$M$5) * (C$14=$B$4:$M$4) * ($B$6:$M$11) )</f>
        <v>728</v>
      </c>
      <c r="D26" s="224" cm="1">
        <f t="array" ref="D26">SUMPRODUCT( ($A26=$A$6:$A$11) * ($B26=$B$5:$M$5) * (D$14=$B$4:$M$4) * ($B$6:$M$11) )</f>
        <v>159</v>
      </c>
      <c r="E26" s="224" cm="1">
        <f t="array" ref="E26">SUMPRODUCT( ($A26=$A$6:$A$11) * ($B26=$B$5:$M$5) * (E$14=$B$4:$M$4) * ($B$6:$M$11) )</f>
        <v>1089</v>
      </c>
      <c r="F26" s="225" cm="1">
        <f t="array" ref="F26">SUMPRODUCT( ($A26=$A$6:$A$11) * ($B26=$B$5:$M$5) * (F$14=$B$4:$M$4) * ($B$6:$M$11) )</f>
        <v>449</v>
      </c>
    </row>
    <row r="27" spans="1:14" x14ac:dyDescent="0.35">
      <c r="A27" s="101" t="s">
        <v>378</v>
      </c>
      <c r="B27" s="102" t="s">
        <v>377</v>
      </c>
      <c r="C27" s="223" cm="1">
        <f t="array" ref="C27">SUMPRODUCT( ($A27=$A$6:$A$11) * ($B27=$B$5:$M$5) * (C$14=$B$4:$M$4) * ($B$6:$M$11) )</f>
        <v>852</v>
      </c>
      <c r="D27" s="224" cm="1">
        <f t="array" ref="D27">SUMPRODUCT( ($A27=$A$6:$A$11) * ($B27=$B$5:$M$5) * (D$14=$B$4:$M$4) * ($B$6:$M$11) )</f>
        <v>254</v>
      </c>
      <c r="E27" s="224" cm="1">
        <f t="array" ref="E27">SUMPRODUCT( ($A27=$A$6:$A$11) * ($B27=$B$5:$M$5) * (E$14=$B$4:$M$4) * ($B$6:$M$11) )</f>
        <v>1159</v>
      </c>
      <c r="F27" s="225" cm="1">
        <f t="array" ref="F27">SUMPRODUCT( ($A27=$A$6:$A$11) * ($B27=$B$5:$M$5) * (F$14=$B$4:$M$4) * ($B$6:$M$11) )</f>
        <v>530</v>
      </c>
    </row>
    <row r="28" spans="1:14" x14ac:dyDescent="0.35">
      <c r="A28" s="101" t="s">
        <v>275</v>
      </c>
      <c r="B28" s="102" t="s">
        <v>377</v>
      </c>
      <c r="C28" s="223" cm="1">
        <f t="array" ref="C28">SUMPRODUCT( ($A28=$A$6:$A$11) * ($B28=$B$5:$M$5) * (C$14=$B$4:$M$4) * ($B$6:$M$11) )</f>
        <v>825</v>
      </c>
      <c r="D28" s="224" cm="1">
        <f t="array" ref="D28">SUMPRODUCT( ($A28=$A$6:$A$11) * ($B28=$B$5:$M$5) * (D$14=$B$4:$M$4) * ($B$6:$M$11) )</f>
        <v>219</v>
      </c>
      <c r="E28" s="224" cm="1">
        <f t="array" ref="E28">SUMPRODUCT( ($A28=$A$6:$A$11) * ($B28=$B$5:$M$5) * (E$14=$B$4:$M$4) * ($B$6:$M$11) )</f>
        <v>1182</v>
      </c>
      <c r="F28" s="225" cm="1">
        <f t="array" ref="F28">SUMPRODUCT( ($A28=$A$6:$A$11) * ($B28=$B$5:$M$5) * (F$14=$B$4:$M$4) * ($B$6:$M$11) )</f>
        <v>565</v>
      </c>
    </row>
    <row r="29" spans="1:14" x14ac:dyDescent="0.35">
      <c r="A29" s="101" t="s">
        <v>235</v>
      </c>
      <c r="B29" s="102" t="s">
        <v>377</v>
      </c>
      <c r="C29" s="223" cm="1">
        <f t="array" ref="C29">SUMPRODUCT( ($A29=$A$6:$A$11) * ($B29=$B$5:$M$5) * (C$14=$B$4:$M$4) * ($B$6:$M$11) )</f>
        <v>891</v>
      </c>
      <c r="D29" s="224" cm="1">
        <f t="array" ref="D29">SUMPRODUCT( ($A29=$A$6:$A$11) * ($B29=$B$5:$M$5) * (D$14=$B$4:$M$4) * ($B$6:$M$11) )</f>
        <v>293</v>
      </c>
      <c r="E29" s="224" cm="1">
        <f t="array" ref="E29">SUMPRODUCT( ($A29=$A$6:$A$11) * ($B29=$B$5:$M$5) * (E$14=$B$4:$M$4) * ($B$6:$M$11) )</f>
        <v>1110</v>
      </c>
      <c r="F29" s="225" cm="1">
        <f t="array" ref="F29">SUMPRODUCT( ($A29=$A$6:$A$11) * ($B29=$B$5:$M$5) * (F$14=$B$4:$M$4) * ($B$6:$M$11) )</f>
        <v>535</v>
      </c>
    </row>
    <row r="30" spans="1:14" x14ac:dyDescent="0.35">
      <c r="A30" s="101" t="s">
        <v>381</v>
      </c>
      <c r="B30" s="102" t="s">
        <v>377</v>
      </c>
      <c r="C30" s="223" cm="1">
        <f t="array" ref="C30">SUMPRODUCT( ($A30=$A$6:$A$11) * ($B30=$B$5:$M$5) * (C$14=$B$4:$M$4) * ($B$6:$M$11) )</f>
        <v>834</v>
      </c>
      <c r="D30" s="224" cm="1">
        <f t="array" ref="D30">SUMPRODUCT( ($A30=$A$6:$A$11) * ($B30=$B$5:$M$5) * (D$14=$B$4:$M$4) * ($B$6:$M$11) )</f>
        <v>298</v>
      </c>
      <c r="E30" s="224" cm="1">
        <f t="array" ref="E30">SUMPRODUCT( ($A30=$A$6:$A$11) * ($B30=$B$5:$M$5) * (E$14=$B$4:$M$4) * ($B$6:$M$11) )</f>
        <v>1140</v>
      </c>
      <c r="F30" s="225" cm="1">
        <f t="array" ref="F30">SUMPRODUCT( ($A30=$A$6:$A$11) * ($B30=$B$5:$M$5) * (F$14=$B$4:$M$4) * ($B$6:$M$11) )</f>
        <v>556</v>
      </c>
    </row>
    <row r="31" spans="1:14" x14ac:dyDescent="0.35">
      <c r="A31" s="101" t="s">
        <v>379</v>
      </c>
      <c r="B31" s="102" t="s">
        <v>377</v>
      </c>
      <c r="C31" s="223" cm="1">
        <f t="array" ref="C31">SUMPRODUCT( ($A31=$A$6:$A$11) * ($B31=$B$5:$M$5) * (C$14=$B$4:$M$4) * ($B$6:$M$11) )</f>
        <v>841</v>
      </c>
      <c r="D31" s="224" cm="1">
        <f t="array" ref="D31">SUMPRODUCT( ($A31=$A$6:$A$11) * ($B31=$B$5:$M$5) * (D$14=$B$4:$M$4) * ($B$6:$M$11) )</f>
        <v>222</v>
      </c>
      <c r="E31" s="224" cm="1">
        <f t="array" ref="E31">SUMPRODUCT( ($A31=$A$6:$A$11) * ($B31=$B$5:$M$5) * (E$14=$B$4:$M$4) * ($B$6:$M$11) )</f>
        <v>1155</v>
      </c>
      <c r="F31" s="225" cm="1">
        <f t="array" ref="F31">SUMPRODUCT( ($A31=$A$6:$A$11) * ($B31=$B$5:$M$5) * (F$14=$B$4:$M$4) * ($B$6:$M$11) )</f>
        <v>510</v>
      </c>
      <c r="K31" s="340" t="s">
        <v>868</v>
      </c>
    </row>
    <row r="32" spans="1:14" ht="13.15" thickBot="1" x14ac:dyDescent="0.4">
      <c r="A32" s="105" t="s">
        <v>380</v>
      </c>
      <c r="B32" s="106" t="s">
        <v>377</v>
      </c>
      <c r="C32" s="227" cm="1">
        <f t="array" ref="C32">SUMPRODUCT( ($A32=$A$6:$A$11) * ($B32=$B$5:$M$5) * (C$14=$B$4:$M$4) * ($B$6:$M$11) )</f>
        <v>817</v>
      </c>
      <c r="D32" s="228" cm="1">
        <f t="array" ref="D32">SUMPRODUCT( ($A32=$A$6:$A$11) * ($B32=$B$5:$M$5) * (D$14=$B$4:$M$4) * ($B$6:$M$11) )</f>
        <v>240</v>
      </c>
      <c r="E32" s="228" cm="1">
        <f t="array" ref="E32">SUMPRODUCT( ($A32=$A$6:$A$11) * ($B32=$B$5:$M$5) * (E$14=$B$4:$M$4) * ($B$6:$M$11) )</f>
        <v>1182</v>
      </c>
      <c r="F32" s="229" cm="1">
        <f t="array" ref="F32">SUMPRODUCT( ($A32=$A$6:$A$11) * ($B32=$B$5:$M$5) * (F$14=$B$4:$M$4) * ($B$6:$M$11) )</f>
        <v>600</v>
      </c>
      <c r="K32" s="340" t="s">
        <v>869</v>
      </c>
      <c r="L32" s="81">
        <v>5</v>
      </c>
      <c r="M32" s="81">
        <v>10</v>
      </c>
      <c r="N32" s="81" cm="1">
        <f t="array" ref="N32:N34">L32:L34*M32:M34</f>
        <v>50</v>
      </c>
    </row>
    <row r="33" spans="2:14" x14ac:dyDescent="0.35">
      <c r="K33" s="340" t="s">
        <v>870</v>
      </c>
      <c r="L33" s="81">
        <v>7</v>
      </c>
      <c r="M33" s="81">
        <v>15</v>
      </c>
      <c r="N33" s="81">
        <v>105</v>
      </c>
    </row>
    <row r="34" spans="2:14" x14ac:dyDescent="0.35">
      <c r="K34" s="340" t="s">
        <v>871</v>
      </c>
      <c r="L34" s="81">
        <v>20</v>
      </c>
      <c r="M34" s="81">
        <v>2</v>
      </c>
      <c r="N34" s="81">
        <v>40</v>
      </c>
    </row>
    <row r="35" spans="2:14" ht="13.5" thickBot="1" x14ac:dyDescent="0.45">
      <c r="N35" s="341">
        <f>SUM(_xlfn.ANCHORARRAY(N32))</f>
        <v>195</v>
      </c>
    </row>
    <row r="36" spans="2:14" ht="13.5" thickBot="1" x14ac:dyDescent="0.45">
      <c r="B36" s="107" t="s">
        <v>10</v>
      </c>
      <c r="C36" s="108"/>
      <c r="D36" s="108"/>
      <c r="E36" s="108"/>
      <c r="F36" s="108"/>
      <c r="G36" s="109"/>
    </row>
    <row r="37" spans="2:14" outlineLevel="1" x14ac:dyDescent="0.35">
      <c r="B37" s="110"/>
      <c r="G37" s="111"/>
    </row>
    <row r="38" spans="2:14" outlineLevel="1" x14ac:dyDescent="0.35">
      <c r="B38" s="110" t="s">
        <v>384</v>
      </c>
      <c r="G38" s="111"/>
    </row>
    <row r="39" spans="2:14" outlineLevel="1" x14ac:dyDescent="0.35">
      <c r="B39" s="110" t="s">
        <v>385</v>
      </c>
      <c r="G39" s="111"/>
    </row>
    <row r="40" spans="2:14" outlineLevel="1" x14ac:dyDescent="0.35">
      <c r="B40" s="110" t="s">
        <v>386</v>
      </c>
      <c r="G40" s="111"/>
    </row>
    <row r="41" spans="2:14" outlineLevel="1" x14ac:dyDescent="0.35">
      <c r="B41" s="238" t="s">
        <v>387</v>
      </c>
      <c r="G41" s="111"/>
    </row>
    <row r="42" spans="2:14" outlineLevel="1" x14ac:dyDescent="0.35">
      <c r="B42" s="238" t="s">
        <v>388</v>
      </c>
      <c r="G42" s="111"/>
    </row>
    <row r="43" spans="2:14" outlineLevel="1" x14ac:dyDescent="0.35">
      <c r="B43" s="110" t="s">
        <v>389</v>
      </c>
      <c r="G43" s="111"/>
    </row>
    <row r="44" spans="2:14" outlineLevel="1" x14ac:dyDescent="0.35">
      <c r="B44" s="110" t="s">
        <v>390</v>
      </c>
      <c r="G44" s="111"/>
    </row>
    <row r="45" spans="2:14" outlineLevel="1" x14ac:dyDescent="0.35">
      <c r="B45" s="110" t="s">
        <v>391</v>
      </c>
      <c r="G45" s="111"/>
    </row>
    <row r="46" spans="2:14" ht="13.15" outlineLevel="1" thickBot="1" x14ac:dyDescent="0.4">
      <c r="B46" s="112"/>
      <c r="C46" s="113"/>
      <c r="D46" s="113"/>
      <c r="E46" s="113"/>
      <c r="F46" s="113"/>
      <c r="G46" s="114"/>
    </row>
  </sheetData>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29E681-9B6D-4C97-93C9-992DFCD5B04F}">
  <sheetPr codeName="Sheet14"/>
  <dimension ref="A1:G38"/>
  <sheetViews>
    <sheetView showGridLines="0" topLeftCell="A4" zoomScale="84" zoomScaleNormal="100" workbookViewId="0">
      <selection activeCell="A13" sqref="A13"/>
    </sheetView>
  </sheetViews>
  <sheetFormatPr defaultColWidth="8.86328125" defaultRowHeight="12.75" outlineLevelRow="1" x14ac:dyDescent="0.35"/>
  <cols>
    <col min="1" max="2" width="12.796875" style="3" customWidth="1"/>
    <col min="3" max="3" width="8.86328125" style="3"/>
    <col min="4" max="4" width="13.796875" style="3" customWidth="1"/>
    <col min="5" max="5" width="11.19921875" style="3" customWidth="1"/>
    <col min="6" max="6" width="30.796875" style="3" customWidth="1"/>
    <col min="7" max="16384" width="8.86328125" style="3"/>
  </cols>
  <sheetData>
    <row r="1" spans="1:3" ht="13.9" x14ac:dyDescent="0.4">
      <c r="A1" s="1" t="s">
        <v>470</v>
      </c>
    </row>
    <row r="4" spans="1:3" x14ac:dyDescent="0.35">
      <c r="A4" s="3" t="s">
        <v>471</v>
      </c>
      <c r="B4" s="20" t="s">
        <v>472</v>
      </c>
    </row>
    <row r="6" spans="1:3" ht="13.15" x14ac:dyDescent="0.4">
      <c r="A6" s="3" t="s">
        <v>473</v>
      </c>
    </row>
    <row r="8" spans="1:3" x14ac:dyDescent="0.35">
      <c r="A8" s="60" t="s">
        <v>474</v>
      </c>
      <c r="B8" s="154" t="s">
        <v>475</v>
      </c>
    </row>
    <row r="9" spans="1:3" x14ac:dyDescent="0.35">
      <c r="A9" s="60" t="s">
        <v>476</v>
      </c>
      <c r="B9" s="155">
        <v>44441</v>
      </c>
    </row>
    <row r="10" spans="1:3" x14ac:dyDescent="0.35">
      <c r="A10" s="60" t="s">
        <v>477</v>
      </c>
      <c r="B10" s="155">
        <v>45171</v>
      </c>
    </row>
    <row r="11" spans="1:3" x14ac:dyDescent="0.35">
      <c r="A11" s="60" t="s">
        <v>478</v>
      </c>
      <c r="B11" s="154">
        <v>2</v>
      </c>
    </row>
    <row r="13" spans="1:3" ht="13.15" x14ac:dyDescent="0.4">
      <c r="A13" s="235" t="str" cm="1">
        <f t="array" ref="A13:B38">_xlfn.STOCKHISTORY(B8,B9,B10,B11)</f>
        <v>Date</v>
      </c>
      <c r="B13" s="236" t="str">
        <v>Close</v>
      </c>
    </row>
    <row r="14" spans="1:3" x14ac:dyDescent="0.35">
      <c r="A14" s="43" vm="1">
        <v>44440</v>
      </c>
      <c r="B14" s="45" vm="2">
        <v>74.164000000000001</v>
      </c>
    </row>
    <row r="15" spans="1:3" x14ac:dyDescent="0.35">
      <c r="A15" s="43" vm="3">
        <v>44470</v>
      </c>
      <c r="B15" s="45" vm="4">
        <v>74.915499999999994</v>
      </c>
    </row>
    <row r="16" spans="1:3" x14ac:dyDescent="0.35">
      <c r="A16" s="43" vm="5">
        <v>44501</v>
      </c>
      <c r="B16" s="45" vm="6">
        <v>75.09</v>
      </c>
      <c r="C16" s="2"/>
    </row>
    <row r="17" spans="1:7" x14ac:dyDescent="0.35">
      <c r="A17" s="43" vm="7">
        <v>44531</v>
      </c>
      <c r="B17" s="45" vm="8">
        <v>74.466999999999999</v>
      </c>
    </row>
    <row r="18" spans="1:7" ht="50" customHeight="1" x14ac:dyDescent="0.35">
      <c r="A18" s="43" vm="9">
        <v>44562</v>
      </c>
      <c r="B18" s="45" vm="10">
        <v>74.528899999999993</v>
      </c>
      <c r="C18" s="54"/>
      <c r="F18" s="53"/>
    </row>
    <row r="19" spans="1:7" x14ac:dyDescent="0.35">
      <c r="A19" s="43" vm="11">
        <v>44593</v>
      </c>
      <c r="B19" s="45" vm="12">
        <v>75.492999999999995</v>
      </c>
    </row>
    <row r="20" spans="1:7" x14ac:dyDescent="0.35">
      <c r="A20" s="43" vm="13">
        <v>44621</v>
      </c>
      <c r="B20" s="45" vm="14">
        <v>75.901399999999995</v>
      </c>
      <c r="C20" s="2"/>
    </row>
    <row r="21" spans="1:7" x14ac:dyDescent="0.35">
      <c r="A21" s="43" vm="15">
        <v>44652</v>
      </c>
      <c r="B21" s="45" vm="16">
        <v>76.52</v>
      </c>
    </row>
    <row r="22" spans="1:7" x14ac:dyDescent="0.35">
      <c r="A22" s="43" vm="17">
        <v>44682</v>
      </c>
      <c r="B22" s="45" vm="18">
        <v>77.569000000000003</v>
      </c>
      <c r="C22" s="54"/>
      <c r="D22" s="231"/>
      <c r="E22" s="8"/>
    </row>
    <row r="23" spans="1:7" x14ac:dyDescent="0.35">
      <c r="A23" s="43" vm="19">
        <v>44713</v>
      </c>
      <c r="B23" s="45" vm="20">
        <v>78.95</v>
      </c>
    </row>
    <row r="24" spans="1:7" ht="13.15" thickBot="1" x14ac:dyDescent="0.4">
      <c r="A24" s="43" vm="21">
        <v>44743</v>
      </c>
      <c r="B24" s="45" vm="22">
        <v>79.335999999999999</v>
      </c>
    </row>
    <row r="25" spans="1:7" ht="13.5" thickBot="1" x14ac:dyDescent="0.45">
      <c r="A25" s="43" vm="23">
        <v>44774</v>
      </c>
      <c r="B25" s="232" vm="24">
        <v>79.491</v>
      </c>
      <c r="C25" s="11"/>
      <c r="D25" s="11"/>
      <c r="E25" s="11"/>
      <c r="F25" s="11"/>
      <c r="G25" s="12"/>
    </row>
    <row r="26" spans="1:7" hidden="1" outlineLevel="1" x14ac:dyDescent="0.35">
      <c r="A26" s="43" vm="25">
        <v>44805</v>
      </c>
      <c r="B26" s="233" vm="26">
        <v>81.509</v>
      </c>
      <c r="G26" s="14"/>
    </row>
    <row r="27" spans="1:7" hidden="1" outlineLevel="1" x14ac:dyDescent="0.35">
      <c r="A27" s="43" vm="27">
        <v>44835</v>
      </c>
      <c r="B27" s="233" vm="28">
        <v>82.77</v>
      </c>
      <c r="G27" s="14"/>
    </row>
    <row r="28" spans="1:7" hidden="1" outlineLevel="1" x14ac:dyDescent="0.35">
      <c r="A28" s="43" vm="29">
        <v>44866</v>
      </c>
      <c r="B28" s="233" vm="30">
        <v>81.358999999999995</v>
      </c>
      <c r="G28" s="14"/>
    </row>
    <row r="29" spans="1:7" hidden="1" outlineLevel="1" x14ac:dyDescent="0.35">
      <c r="A29" s="43" vm="31">
        <v>44896</v>
      </c>
      <c r="B29" s="233" vm="32">
        <v>82.716999999999999</v>
      </c>
      <c r="G29" s="14"/>
    </row>
    <row r="30" spans="1:7" hidden="1" outlineLevel="1" x14ac:dyDescent="0.35">
      <c r="A30" s="43" vm="33">
        <v>44927</v>
      </c>
      <c r="B30" s="233" vm="34">
        <v>81.739000000000004</v>
      </c>
      <c r="G30" s="14"/>
    </row>
    <row r="31" spans="1:7" ht="13.15" hidden="1" outlineLevel="1" thickBot="1" x14ac:dyDescent="0.4">
      <c r="A31" s="43" vm="35">
        <v>44958</v>
      </c>
      <c r="B31" s="234" vm="36">
        <v>82.64</v>
      </c>
      <c r="C31" s="16"/>
      <c r="D31" s="16"/>
      <c r="E31" s="16"/>
      <c r="F31" s="16"/>
      <c r="G31" s="17"/>
    </row>
    <row r="32" spans="1:7" collapsed="1" x14ac:dyDescent="0.35">
      <c r="A32" s="43" vm="37">
        <v>44986</v>
      </c>
      <c r="B32" s="45" vm="38">
        <v>82.16</v>
      </c>
    </row>
    <row r="33" spans="1:4" x14ac:dyDescent="0.35">
      <c r="A33" s="43" vm="39">
        <v>45017</v>
      </c>
      <c r="B33" s="45" vm="40">
        <v>81.72</v>
      </c>
    </row>
    <row r="34" spans="1:4" x14ac:dyDescent="0.35">
      <c r="A34" s="43" vm="41">
        <v>45047</v>
      </c>
      <c r="B34" s="45" vm="42">
        <v>82.68</v>
      </c>
    </row>
    <row r="35" spans="1:4" x14ac:dyDescent="0.35">
      <c r="A35" s="43" vm="43">
        <v>45078</v>
      </c>
      <c r="B35" s="45" vm="44">
        <v>82.090999999999994</v>
      </c>
      <c r="C35" s="230"/>
    </row>
    <row r="36" spans="1:4" x14ac:dyDescent="0.35">
      <c r="A36" s="43" vm="45">
        <v>45108</v>
      </c>
      <c r="B36" s="45" vm="46">
        <v>82.24</v>
      </c>
      <c r="C36" s="230"/>
      <c r="D36" s="230"/>
    </row>
    <row r="37" spans="1:4" x14ac:dyDescent="0.35">
      <c r="A37" s="43" vm="47">
        <v>45139</v>
      </c>
      <c r="B37" s="45" vm="48">
        <v>82.701599999999999</v>
      </c>
    </row>
    <row r="38" spans="1:4" x14ac:dyDescent="0.35">
      <c r="A38" s="43" vm="49">
        <v>45170</v>
      </c>
      <c r="B38" s="45" vm="50">
        <v>83.03</v>
      </c>
    </row>
  </sheetData>
  <hyperlinks>
    <hyperlink ref="B4" r:id="rId1" xr:uid="{2E7696FA-E5FC-44A8-B7C3-DE0E4922EC9F}"/>
  </hyperlinks>
  <pageMargins left="0.7" right="0.7" top="0.75" bottom="0.75" header="0.3" footer="0.3"/>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A951BA-6EA1-47F5-89F7-73819F2E16C3}">
  <sheetPr codeName="Sheet15">
    <tabColor rgb="FFFFFF00"/>
  </sheetPr>
  <dimension ref="A1:K34"/>
  <sheetViews>
    <sheetView showGridLines="0" zoomScale="85" zoomScaleNormal="85" workbookViewId="0">
      <selection activeCell="A5" sqref="A5:C13"/>
    </sheetView>
  </sheetViews>
  <sheetFormatPr defaultColWidth="8.86328125" defaultRowHeight="12.75" outlineLevelRow="1" x14ac:dyDescent="0.35"/>
  <cols>
    <col min="1" max="2" width="15.796875" style="3" customWidth="1"/>
    <col min="3" max="3" width="23.1328125" style="3" customWidth="1"/>
    <col min="4" max="16384" width="8.86328125" style="3"/>
  </cols>
  <sheetData>
    <row r="1" spans="1:11" ht="13.9" x14ac:dyDescent="0.4">
      <c r="A1" s="1" t="s">
        <v>0</v>
      </c>
      <c r="B1" s="2"/>
    </row>
    <row r="2" spans="1:11" x14ac:dyDescent="0.35">
      <c r="E2" s="259" t="s">
        <v>726</v>
      </c>
    </row>
    <row r="3" spans="1:11" x14ac:dyDescent="0.35">
      <c r="E3" s="259" t="s">
        <v>727</v>
      </c>
    </row>
    <row r="5" spans="1:11" ht="13.15" x14ac:dyDescent="0.4">
      <c r="A5" s="272" t="s">
        <v>1</v>
      </c>
      <c r="B5" s="273" t="s">
        <v>2</v>
      </c>
      <c r="C5" s="274" t="s">
        <v>3</v>
      </c>
    </row>
    <row r="6" spans="1:11" x14ac:dyDescent="0.35">
      <c r="A6" s="275" t="s">
        <v>4</v>
      </c>
      <c r="B6" s="276">
        <v>5.4</v>
      </c>
      <c r="C6" s="277">
        <v>0.04</v>
      </c>
    </row>
    <row r="7" spans="1:11" x14ac:dyDescent="0.35">
      <c r="A7" s="275" t="s">
        <v>5</v>
      </c>
      <c r="B7" s="276">
        <v>4.0999999999999996</v>
      </c>
      <c r="C7" s="278">
        <v>3.3300000000000003E-2</v>
      </c>
    </row>
    <row r="8" spans="1:11" x14ac:dyDescent="0.35">
      <c r="A8" s="275" t="s">
        <v>6</v>
      </c>
      <c r="B8" s="276">
        <v>13.5</v>
      </c>
      <c r="C8" s="278">
        <v>2.5000000000000001E-2</v>
      </c>
    </row>
    <row r="9" spans="1:11" x14ac:dyDescent="0.35">
      <c r="A9" s="275" t="s">
        <v>7</v>
      </c>
      <c r="B9" s="276">
        <v>6.3</v>
      </c>
      <c r="C9" s="277">
        <v>7.0000000000000007E-2</v>
      </c>
    </row>
    <row r="10" spans="1:11" x14ac:dyDescent="0.35">
      <c r="A10" s="275" t="s">
        <v>8</v>
      </c>
      <c r="B10" s="276">
        <v>4.4000000000000004</v>
      </c>
      <c r="C10" s="277">
        <v>0.04</v>
      </c>
    </row>
    <row r="11" spans="1:11" x14ac:dyDescent="0.35">
      <c r="A11" s="275" t="s">
        <v>9</v>
      </c>
      <c r="B11" s="276">
        <v>6.1</v>
      </c>
      <c r="C11" s="278">
        <v>2.3E-2</v>
      </c>
    </row>
    <row r="12" spans="1:11" x14ac:dyDescent="0.35">
      <c r="A12" s="275" t="s">
        <v>725</v>
      </c>
      <c r="B12" s="276">
        <v>10</v>
      </c>
      <c r="C12" s="278">
        <v>0.05</v>
      </c>
    </row>
    <row r="13" spans="1:11" x14ac:dyDescent="0.35">
      <c r="A13" s="275" t="s">
        <v>730</v>
      </c>
      <c r="B13" s="276">
        <v>20</v>
      </c>
      <c r="C13" s="278">
        <v>0.15</v>
      </c>
      <c r="K13" s="266"/>
    </row>
    <row r="14" spans="1:11" x14ac:dyDescent="0.35">
      <c r="B14" s="5"/>
      <c r="C14" s="7"/>
      <c r="E14" s="259" t="s">
        <v>723</v>
      </c>
      <c r="F14" s="266"/>
      <c r="K14" s="269" t="s">
        <v>724</v>
      </c>
    </row>
    <row r="15" spans="1:11" x14ac:dyDescent="0.35">
      <c r="B15" s="8"/>
      <c r="F15" s="266"/>
      <c r="K15" s="266"/>
    </row>
    <row r="16" spans="1:11" x14ac:dyDescent="0.35">
      <c r="B16" s="8"/>
      <c r="E16" s="259" t="s">
        <v>729</v>
      </c>
      <c r="F16" s="266"/>
      <c r="K16" s="266"/>
    </row>
    <row r="17" spans="1:11" ht="13.15" x14ac:dyDescent="0.4">
      <c r="B17" s="270">
        <v>10</v>
      </c>
      <c r="C17" s="271">
        <v>0.05</v>
      </c>
      <c r="E17" s="259" t="s">
        <v>728</v>
      </c>
      <c r="F17" s="266"/>
      <c r="K17" s="266"/>
    </row>
    <row r="18" spans="1:11" x14ac:dyDescent="0.35">
      <c r="F18" s="266"/>
      <c r="K18" s="266"/>
    </row>
    <row r="19" spans="1:11" x14ac:dyDescent="0.35">
      <c r="F19" s="266"/>
      <c r="K19" s="266"/>
    </row>
    <row r="20" spans="1:11" ht="14.25" x14ac:dyDescent="0.45">
      <c r="A20" s="9" t="s">
        <v>731</v>
      </c>
      <c r="E20" s="267"/>
      <c r="F20" s="268"/>
      <c r="G20" s="267"/>
      <c r="H20" s="267"/>
      <c r="I20" s="267"/>
      <c r="J20" s="267"/>
      <c r="K20" s="268"/>
    </row>
    <row r="21" spans="1:11" x14ac:dyDescent="0.35">
      <c r="D21" s="259" t="s">
        <v>722</v>
      </c>
      <c r="F21" s="266"/>
      <c r="K21" s="266"/>
    </row>
    <row r="22" spans="1:11" x14ac:dyDescent="0.35">
      <c r="A22" s="259" t="s">
        <v>719</v>
      </c>
    </row>
    <row r="23" spans="1:11" x14ac:dyDescent="0.35">
      <c r="A23" s="259" t="s">
        <v>720</v>
      </c>
    </row>
    <row r="24" spans="1:11" ht="13.15" thickBot="1" x14ac:dyDescent="0.4">
      <c r="A24" s="259" t="s">
        <v>721</v>
      </c>
    </row>
    <row r="25" spans="1:11" ht="13.5" thickBot="1" x14ac:dyDescent="0.45">
      <c r="A25" s="57" t="s">
        <v>725</v>
      </c>
      <c r="B25" s="10" t="s">
        <v>10</v>
      </c>
      <c r="C25" s="11"/>
      <c r="D25" s="11"/>
      <c r="E25" s="11"/>
      <c r="F25" s="11"/>
      <c r="G25" s="12"/>
    </row>
    <row r="26" spans="1:11" outlineLevel="1" x14ac:dyDescent="0.35">
      <c r="B26" s="13"/>
      <c r="G26" s="14"/>
    </row>
    <row r="27" spans="1:11" s="57" customFormat="1" ht="13.15" outlineLevel="1" x14ac:dyDescent="0.4">
      <c r="B27" s="47" t="s">
        <v>11</v>
      </c>
      <c r="G27" s="217"/>
    </row>
    <row r="28" spans="1:11" s="57" customFormat="1" ht="13.15" outlineLevel="1" x14ac:dyDescent="0.4">
      <c r="B28" s="47" t="s">
        <v>12</v>
      </c>
      <c r="G28" s="217"/>
    </row>
    <row r="29" spans="1:11" s="57" customFormat="1" ht="13.15" outlineLevel="1" x14ac:dyDescent="0.4">
      <c r="B29" s="47" t="s">
        <v>13</v>
      </c>
      <c r="G29" s="217"/>
    </row>
    <row r="30" spans="1:11" s="57" customFormat="1" ht="13.15" outlineLevel="1" x14ac:dyDescent="0.4">
      <c r="B30" s="47" t="s">
        <v>14</v>
      </c>
      <c r="G30" s="217"/>
    </row>
    <row r="31" spans="1:11" s="57" customFormat="1" ht="13.15" outlineLevel="1" x14ac:dyDescent="0.4">
      <c r="B31" s="47" t="s">
        <v>15</v>
      </c>
      <c r="G31" s="217"/>
    </row>
    <row r="32" spans="1:11" s="57" customFormat="1" ht="13.15" outlineLevel="1" x14ac:dyDescent="0.4">
      <c r="B32" s="47" t="s">
        <v>16</v>
      </c>
      <c r="G32" s="217"/>
    </row>
    <row r="33" spans="2:7" s="57" customFormat="1" ht="13.15" outlineLevel="1" x14ac:dyDescent="0.4">
      <c r="B33" s="47" t="s">
        <v>17</v>
      </c>
      <c r="G33" s="217"/>
    </row>
    <row r="34" spans="2:7" ht="13.15" outlineLevel="1" thickBot="1" x14ac:dyDescent="0.4">
      <c r="B34" s="15"/>
      <c r="C34" s="16"/>
      <c r="D34" s="16"/>
      <c r="E34" s="16"/>
      <c r="F34" s="16"/>
      <c r="G34" s="17"/>
    </row>
  </sheetData>
  <pageMargins left="0.7" right="0.7" top="0.75" bottom="0.75" header="0.3" footer="0.3"/>
  <drawing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7D2F5-298A-47F7-9EF0-2B42E5528F0C}">
  <sheetPr codeName="Sheet16">
    <tabColor rgb="FF00B0F0"/>
  </sheetPr>
  <dimension ref="A1"/>
  <sheetViews>
    <sheetView workbookViewId="0"/>
  </sheetViews>
  <sheetFormatPr defaultColWidth="8.86328125" defaultRowHeight="14.25" x14ac:dyDescent="0.45"/>
  <cols>
    <col min="1" max="16384" width="8.86328125" style="184"/>
  </cols>
  <sheetData/>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1701E-4BC7-4575-976D-120420E8FE0E}">
  <sheetPr codeName="Sheet17"/>
  <dimension ref="A1:I45"/>
  <sheetViews>
    <sheetView showGridLines="0" zoomScale="80" zoomScaleNormal="80" workbookViewId="0"/>
  </sheetViews>
  <sheetFormatPr defaultColWidth="8.86328125" defaultRowHeight="12.75" outlineLevelRow="1" x14ac:dyDescent="0.35"/>
  <cols>
    <col min="1" max="2" width="15.796875" style="3" customWidth="1"/>
    <col min="3" max="4" width="12.796875" style="3" customWidth="1"/>
    <col min="5" max="5" width="8.86328125" style="3"/>
    <col min="6" max="6" width="47.33203125" style="3" customWidth="1"/>
    <col min="7" max="9" width="12.796875" style="3" customWidth="1"/>
    <col min="10" max="16384" width="8.86328125" style="3"/>
  </cols>
  <sheetData>
    <row r="1" spans="1:9" ht="13.9" x14ac:dyDescent="0.4">
      <c r="A1" s="1" t="s">
        <v>432</v>
      </c>
    </row>
    <row r="3" spans="1:9" x14ac:dyDescent="0.35">
      <c r="A3" s="2" t="s">
        <v>433</v>
      </c>
    </row>
    <row r="6" spans="1:9" ht="13.15" x14ac:dyDescent="0.4">
      <c r="A6" s="3" t="s">
        <v>434</v>
      </c>
      <c r="B6" s="68"/>
      <c r="F6" s="137" t="s">
        <v>435</v>
      </c>
      <c r="G6" s="138">
        <v>44926</v>
      </c>
      <c r="H6" s="138">
        <v>45291</v>
      </c>
      <c r="I6" s="138">
        <v>45657</v>
      </c>
    </row>
    <row r="7" spans="1:9" ht="13.15" x14ac:dyDescent="0.4">
      <c r="A7" s="3" t="s">
        <v>436</v>
      </c>
      <c r="B7" s="139"/>
      <c r="F7" s="137" t="s">
        <v>437</v>
      </c>
      <c r="G7" s="70">
        <v>-100</v>
      </c>
      <c r="H7" s="70">
        <v>55</v>
      </c>
      <c r="I7" s="70">
        <v>55</v>
      </c>
    </row>
    <row r="8" spans="1:9" x14ac:dyDescent="0.35">
      <c r="A8" s="3" t="s">
        <v>438</v>
      </c>
      <c r="B8" s="139"/>
      <c r="F8" s="8"/>
      <c r="G8" s="8"/>
      <c r="H8" s="8"/>
      <c r="I8" s="8"/>
    </row>
    <row r="9" spans="1:9" x14ac:dyDescent="0.35">
      <c r="F9" s="8"/>
      <c r="G9" s="8"/>
      <c r="H9" s="8"/>
      <c r="I9" s="8"/>
    </row>
    <row r="10" spans="1:9" x14ac:dyDescent="0.35">
      <c r="A10" s="2" t="s">
        <v>439</v>
      </c>
    </row>
    <row r="12" spans="1:9" ht="13.15" x14ac:dyDescent="0.4">
      <c r="A12" s="3" t="s">
        <v>434</v>
      </c>
      <c r="B12" s="140"/>
      <c r="F12" s="137" t="s">
        <v>435</v>
      </c>
      <c r="G12" s="138">
        <v>44926</v>
      </c>
      <c r="H12" s="138">
        <v>45291</v>
      </c>
      <c r="I12" s="138">
        <v>45657</v>
      </c>
    </row>
    <row r="13" spans="1:9" ht="13.15" x14ac:dyDescent="0.4">
      <c r="A13" s="3" t="s">
        <v>436</v>
      </c>
      <c r="B13" s="139"/>
      <c r="F13" s="137" t="s">
        <v>437</v>
      </c>
      <c r="G13" s="70">
        <v>-100</v>
      </c>
      <c r="H13" s="70">
        <v>0</v>
      </c>
      <c r="I13" s="141">
        <v>110.25</v>
      </c>
    </row>
    <row r="14" spans="1:9" x14ac:dyDescent="0.35">
      <c r="A14" s="3" t="s">
        <v>438</v>
      </c>
      <c r="B14" s="139"/>
    </row>
    <row r="17" spans="1:8" ht="13.15" x14ac:dyDescent="0.4">
      <c r="A17" s="41" t="s">
        <v>440</v>
      </c>
    </row>
    <row r="18" spans="1:8" ht="13.15" x14ac:dyDescent="0.4">
      <c r="A18" s="41"/>
      <c r="B18" s="6"/>
      <c r="F18" s="3" t="s">
        <v>441</v>
      </c>
    </row>
    <row r="19" spans="1:8" hidden="1" outlineLevel="1" x14ac:dyDescent="0.35">
      <c r="A19" s="3" t="s">
        <v>442</v>
      </c>
      <c r="B19" s="142">
        <v>0.05</v>
      </c>
      <c r="F19" s="6">
        <v>0.03</v>
      </c>
      <c r="H19" s="6"/>
    </row>
    <row r="20" spans="1:8" hidden="1" outlineLevel="1" x14ac:dyDescent="0.35">
      <c r="F20" s="6">
        <v>0.05</v>
      </c>
    </row>
    <row r="21" spans="1:8" hidden="1" outlineLevel="1" x14ac:dyDescent="0.35">
      <c r="A21" s="143">
        <v>44926</v>
      </c>
      <c r="B21" s="144">
        <v>100</v>
      </c>
      <c r="F21" s="6">
        <v>0.1</v>
      </c>
    </row>
    <row r="22" spans="1:8" ht="14.25" hidden="1" outlineLevel="1" x14ac:dyDescent="0.45">
      <c r="A22" s="143">
        <v>45291</v>
      </c>
      <c r="B22" s="144">
        <f>B21*(1+B19)</f>
        <v>105</v>
      </c>
      <c r="C22"/>
      <c r="D22"/>
      <c r="E22"/>
      <c r="F22" s="6">
        <v>0.12</v>
      </c>
    </row>
    <row r="23" spans="1:8" ht="13.15" hidden="1" outlineLevel="1" x14ac:dyDescent="0.4">
      <c r="A23" s="143">
        <v>45657</v>
      </c>
      <c r="B23" s="145">
        <f>B22*(1+B19)</f>
        <v>110.25</v>
      </c>
    </row>
    <row r="24" spans="1:8" hidden="1" outlineLevel="1" x14ac:dyDescent="0.35">
      <c r="A24" s="146"/>
    </row>
    <row r="25" spans="1:8" hidden="1" outlineLevel="1" x14ac:dyDescent="0.35">
      <c r="A25" s="146"/>
    </row>
    <row r="26" spans="1:8" hidden="1" outlineLevel="1" x14ac:dyDescent="0.35">
      <c r="A26" s="143">
        <v>45291</v>
      </c>
      <c r="B26" s="144">
        <v>55</v>
      </c>
    </row>
    <row r="27" spans="1:8" hidden="1" outlineLevel="1" x14ac:dyDescent="0.35">
      <c r="A27" s="143">
        <v>45657</v>
      </c>
      <c r="B27" s="144">
        <f>B26*(1+B19)</f>
        <v>57.75</v>
      </c>
      <c r="C27" s="147">
        <f>I7</f>
        <v>55</v>
      </c>
    </row>
    <row r="28" spans="1:8" ht="13.15" hidden="1" outlineLevel="1" x14ac:dyDescent="0.4">
      <c r="A28" s="146"/>
      <c r="B28" s="148">
        <f>B27+C27</f>
        <v>112.75</v>
      </c>
    </row>
    <row r="29" spans="1:8" hidden="1" outlineLevel="1" x14ac:dyDescent="0.35">
      <c r="A29" s="146"/>
    </row>
    <row r="30" spans="1:8" ht="13.15" hidden="1" outlineLevel="1" x14ac:dyDescent="0.4">
      <c r="A30" s="146" t="s">
        <v>443</v>
      </c>
      <c r="B30" s="145">
        <f>B28-B23</f>
        <v>2.5</v>
      </c>
    </row>
    <row r="31" spans="1:8" ht="13.15" hidden="1" outlineLevel="1" x14ac:dyDescent="0.4">
      <c r="A31" s="146" t="s">
        <v>444</v>
      </c>
      <c r="B31" s="145">
        <f>NPV(B19,G7:I7)</f>
        <v>2.1595939963286863</v>
      </c>
    </row>
    <row r="32" spans="1:8" collapsed="1" x14ac:dyDescent="0.35"/>
    <row r="34" spans="2:7" ht="13.15" thickBot="1" x14ac:dyDescent="0.4"/>
    <row r="35" spans="2:7" ht="13.5" thickBot="1" x14ac:dyDescent="0.45">
      <c r="B35" s="10" t="s">
        <v>10</v>
      </c>
      <c r="C35" s="11"/>
      <c r="D35" s="11"/>
      <c r="E35" s="11"/>
      <c r="F35" s="11"/>
      <c r="G35" s="12"/>
    </row>
    <row r="36" spans="2:7" hidden="1" outlineLevel="1" x14ac:dyDescent="0.35">
      <c r="B36" s="13"/>
      <c r="G36" s="14"/>
    </row>
    <row r="37" spans="2:7" hidden="1" outlineLevel="1" x14ac:dyDescent="0.35">
      <c r="B37" s="13" t="s">
        <v>445</v>
      </c>
      <c r="G37" s="14"/>
    </row>
    <row r="38" spans="2:7" hidden="1" outlineLevel="1" x14ac:dyDescent="0.35">
      <c r="B38" s="13" t="s">
        <v>446</v>
      </c>
      <c r="G38" s="14"/>
    </row>
    <row r="39" spans="2:7" hidden="1" outlineLevel="1" x14ac:dyDescent="0.35">
      <c r="B39" s="13" t="s">
        <v>447</v>
      </c>
      <c r="G39" s="14"/>
    </row>
    <row r="40" spans="2:7" hidden="1" outlineLevel="1" x14ac:dyDescent="0.35">
      <c r="B40" s="13" t="s">
        <v>448</v>
      </c>
      <c r="G40" s="14"/>
    </row>
    <row r="41" spans="2:7" hidden="1" outlineLevel="1" x14ac:dyDescent="0.35">
      <c r="B41" s="13" t="s">
        <v>449</v>
      </c>
      <c r="G41" s="14"/>
    </row>
    <row r="42" spans="2:7" hidden="1" outlineLevel="1" x14ac:dyDescent="0.35">
      <c r="B42" s="13" t="s">
        <v>450</v>
      </c>
      <c r="G42" s="14"/>
    </row>
    <row r="43" spans="2:7" hidden="1" outlineLevel="1" x14ac:dyDescent="0.35">
      <c r="B43" s="13" t="s">
        <v>451</v>
      </c>
      <c r="G43" s="14"/>
    </row>
    <row r="44" spans="2:7" ht="13.15" hidden="1" outlineLevel="1" thickBot="1" x14ac:dyDescent="0.4">
      <c r="B44" s="15"/>
      <c r="C44" s="16"/>
      <c r="D44" s="16"/>
      <c r="E44" s="16"/>
      <c r="F44" s="16"/>
      <c r="G44" s="17"/>
    </row>
    <row r="45" spans="2:7" collapsed="1" x14ac:dyDescent="0.35"/>
  </sheetData>
  <dataValidations count="1">
    <dataValidation type="list" allowBlank="1" showInputMessage="1" showErrorMessage="1" sqref="B6" xr:uid="{9B3C1196-FD4D-4192-9330-915C1847F7F2}">
      <formula1>INDIRECT("Disc_Rates")</formula1>
    </dataValidation>
  </dataValidations>
  <pageMargins left="0.7" right="0.7" top="0.75" bottom="0.75" header="0.3" footer="0.3"/>
  <drawing r:id="rId1"/>
  <tableParts count="1">
    <tablePart r:id="rId2"/>
  </tablePart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FF307-9A6F-414D-841B-8C346C370295}">
  <sheetPr codeName="Sheet18"/>
  <dimension ref="A1:K66"/>
  <sheetViews>
    <sheetView showGridLines="0" zoomScale="80" zoomScaleNormal="80" workbookViewId="0"/>
  </sheetViews>
  <sheetFormatPr defaultColWidth="8.86328125" defaultRowHeight="12.75" outlineLevelRow="1" x14ac:dyDescent="0.35"/>
  <cols>
    <col min="1" max="1" width="8.86328125" style="3"/>
    <col min="2" max="3" width="30.796875" style="3" customWidth="1"/>
    <col min="4" max="5" width="12.796875" style="3" customWidth="1"/>
    <col min="6" max="8" width="8.86328125" style="3"/>
    <col min="9" max="10" width="30.796875" style="3" customWidth="1"/>
    <col min="11" max="11" width="28.53125" style="3" bestFit="1" customWidth="1"/>
    <col min="12" max="16384" width="8.86328125" style="3"/>
  </cols>
  <sheetData>
    <row r="1" spans="1:11" ht="13.9" x14ac:dyDescent="0.4">
      <c r="A1" s="1" t="s">
        <v>479</v>
      </c>
    </row>
    <row r="4" spans="1:11" ht="39.4" x14ac:dyDescent="0.4">
      <c r="B4" s="59" t="s">
        <v>474</v>
      </c>
      <c r="C4" s="59" t="s">
        <v>33</v>
      </c>
      <c r="D4" s="59" t="s">
        <v>480</v>
      </c>
      <c r="E4" s="59" t="s">
        <v>481</v>
      </c>
    </row>
    <row r="5" spans="1:11" x14ac:dyDescent="0.35">
      <c r="B5" s="60" t="s">
        <v>482</v>
      </c>
      <c r="C5" s="60" t="s">
        <v>483</v>
      </c>
      <c r="D5" s="156">
        <v>2542.0880000000002</v>
      </c>
      <c r="E5" s="156"/>
    </row>
    <row r="6" spans="1:11" x14ac:dyDescent="0.35">
      <c r="B6" s="60" t="s">
        <v>484</v>
      </c>
      <c r="C6" s="60" t="s">
        <v>483</v>
      </c>
      <c r="D6" s="156">
        <v>1539.0989999999999</v>
      </c>
      <c r="E6" s="156"/>
    </row>
    <row r="7" spans="1:11" x14ac:dyDescent="0.35">
      <c r="B7" s="60" t="s">
        <v>485</v>
      </c>
      <c r="C7" s="60" t="s">
        <v>483</v>
      </c>
      <c r="D7" s="156">
        <v>725.81100000000004</v>
      </c>
      <c r="E7" s="156"/>
    </row>
    <row r="8" spans="1:11" x14ac:dyDescent="0.35">
      <c r="B8" s="60" t="s">
        <v>486</v>
      </c>
      <c r="C8" s="60" t="s">
        <v>487</v>
      </c>
      <c r="D8" s="156">
        <v>3162.4749999999999</v>
      </c>
      <c r="E8" s="156"/>
    </row>
    <row r="9" spans="1:11" x14ac:dyDescent="0.35">
      <c r="B9" s="60" t="s">
        <v>488</v>
      </c>
      <c r="C9" s="60" t="s">
        <v>489</v>
      </c>
      <c r="D9" s="156">
        <v>2951.884</v>
      </c>
      <c r="E9" s="156"/>
    </row>
    <row r="10" spans="1:11" x14ac:dyDescent="0.35">
      <c r="B10" s="60" t="s">
        <v>490</v>
      </c>
      <c r="C10" s="60" t="s">
        <v>491</v>
      </c>
      <c r="D10" s="156">
        <v>1307.2629999999999</v>
      </c>
      <c r="E10" s="156"/>
    </row>
    <row r="11" spans="1:11" x14ac:dyDescent="0.35">
      <c r="B11" s="60" t="s">
        <v>492</v>
      </c>
      <c r="C11" s="60" t="s">
        <v>493</v>
      </c>
      <c r="D11" s="156">
        <v>4232.3410000000003</v>
      </c>
      <c r="E11" s="156"/>
    </row>
    <row r="12" spans="1:11" ht="13.15" x14ac:dyDescent="0.4">
      <c r="B12" s="60" t="s">
        <v>494</v>
      </c>
      <c r="C12" s="60" t="s">
        <v>493</v>
      </c>
      <c r="D12" s="156">
        <v>2392.011</v>
      </c>
      <c r="E12" s="156"/>
      <c r="I12" s="59" t="s">
        <v>495</v>
      </c>
    </row>
    <row r="13" spans="1:11" x14ac:dyDescent="0.35">
      <c r="B13" s="60" t="s">
        <v>496</v>
      </c>
      <c r="C13" s="60" t="s">
        <v>497</v>
      </c>
      <c r="D13" s="156">
        <v>5082.96</v>
      </c>
      <c r="E13" s="156"/>
    </row>
    <row r="14" spans="1:11" ht="13.25" customHeight="1" x14ac:dyDescent="0.4">
      <c r="B14" s="60" t="s">
        <v>498</v>
      </c>
      <c r="C14" s="60" t="s">
        <v>499</v>
      </c>
      <c r="D14" s="156">
        <v>781.58199999999999</v>
      </c>
      <c r="E14" s="156"/>
      <c r="I14" s="59" t="s">
        <v>500</v>
      </c>
      <c r="J14" s="59" t="s">
        <v>501</v>
      </c>
      <c r="K14" s="59" t="s">
        <v>502</v>
      </c>
    </row>
    <row r="15" spans="1:11" ht="13.25" customHeight="1" x14ac:dyDescent="0.35">
      <c r="B15" s="60" t="s">
        <v>503</v>
      </c>
      <c r="C15" s="60" t="s">
        <v>504</v>
      </c>
      <c r="D15" s="156">
        <v>799.40899999999999</v>
      </c>
      <c r="E15" s="156"/>
      <c r="I15" s="60" t="s">
        <v>505</v>
      </c>
      <c r="J15" s="156"/>
      <c r="K15" s="156"/>
    </row>
    <row r="16" spans="1:11" ht="13.25" customHeight="1" x14ac:dyDescent="0.35">
      <c r="B16" s="60" t="s">
        <v>506</v>
      </c>
      <c r="C16" s="60" t="s">
        <v>507</v>
      </c>
      <c r="D16" s="156">
        <v>1393.085</v>
      </c>
      <c r="E16" s="156"/>
      <c r="I16" s="60" t="s">
        <v>508</v>
      </c>
      <c r="J16" s="156"/>
      <c r="K16" s="156"/>
    </row>
    <row r="17" spans="2:11" ht="13.25" customHeight="1" x14ac:dyDescent="0.35">
      <c r="B17" s="60" t="s">
        <v>509</v>
      </c>
      <c r="C17" s="60" t="s">
        <v>504</v>
      </c>
      <c r="D17" s="156">
        <v>920.91099999999994</v>
      </c>
      <c r="E17" s="156"/>
    </row>
    <row r="18" spans="2:11" ht="13.25" customHeight="1" x14ac:dyDescent="0.35">
      <c r="B18" s="60" t="s">
        <v>510</v>
      </c>
      <c r="C18" s="60" t="s">
        <v>504</v>
      </c>
      <c r="D18" s="156">
        <v>831.548</v>
      </c>
      <c r="E18" s="156"/>
    </row>
    <row r="19" spans="2:11" ht="13.25" customHeight="1" x14ac:dyDescent="0.35">
      <c r="B19" s="60" t="s">
        <v>512</v>
      </c>
      <c r="C19" s="60" t="s">
        <v>491</v>
      </c>
      <c r="D19" s="156">
        <v>965.79600000000005</v>
      </c>
      <c r="E19" s="156"/>
    </row>
    <row r="20" spans="2:11" ht="13.25" customHeight="1" x14ac:dyDescent="0.35">
      <c r="B20" s="60" t="s">
        <v>513</v>
      </c>
      <c r="C20" s="60" t="s">
        <v>514</v>
      </c>
      <c r="D20" s="156">
        <v>1129.376</v>
      </c>
      <c r="E20" s="156"/>
    </row>
    <row r="21" spans="2:11" ht="13.25" customHeight="1" x14ac:dyDescent="0.35">
      <c r="B21" s="60" t="s">
        <v>515</v>
      </c>
      <c r="C21" s="60" t="s">
        <v>516</v>
      </c>
      <c r="D21" s="156">
        <v>3166.8470000000002</v>
      </c>
      <c r="E21" s="156"/>
    </row>
    <row r="22" spans="2:11" ht="13.25" customHeight="1" x14ac:dyDescent="0.4">
      <c r="B22" s="60" t="s">
        <v>517</v>
      </c>
      <c r="C22" s="60" t="s">
        <v>493</v>
      </c>
      <c r="D22" s="156">
        <v>5037.5240000000003</v>
      </c>
      <c r="E22" s="156"/>
      <c r="H22" s="209"/>
      <c r="I22" s="59" t="s">
        <v>511</v>
      </c>
      <c r="J22" s="59" t="s">
        <v>645</v>
      </c>
      <c r="K22" s="210" t="s">
        <v>646</v>
      </c>
    </row>
    <row r="23" spans="2:11" ht="13.25" customHeight="1" x14ac:dyDescent="0.35">
      <c r="B23" s="60" t="s">
        <v>518</v>
      </c>
      <c r="C23" s="60" t="s">
        <v>489</v>
      </c>
      <c r="D23" s="156">
        <v>9186.7659999999996</v>
      </c>
      <c r="E23" s="156"/>
      <c r="G23" s="209"/>
      <c r="I23" s="60" t="s">
        <v>505</v>
      </c>
      <c r="J23" s="156"/>
      <c r="K23" s="156">
        <f>_xlfn.MAXIFS(D5:D54,C5:C54,G23)</f>
        <v>0</v>
      </c>
    </row>
    <row r="24" spans="2:11" ht="13.25" customHeight="1" x14ac:dyDescent="0.35">
      <c r="B24" s="60" t="s">
        <v>519</v>
      </c>
      <c r="C24" s="60" t="s">
        <v>520</v>
      </c>
      <c r="D24" s="156">
        <v>1353.8679999999999</v>
      </c>
      <c r="E24" s="156"/>
      <c r="I24" s="60" t="s">
        <v>508</v>
      </c>
      <c r="J24" s="156"/>
      <c r="K24" s="156"/>
    </row>
    <row r="25" spans="2:11" ht="13.25" customHeight="1" x14ac:dyDescent="0.35">
      <c r="B25" s="60" t="s">
        <v>521</v>
      </c>
      <c r="C25" s="60" t="s">
        <v>491</v>
      </c>
      <c r="D25" s="156">
        <v>557.12900000000002</v>
      </c>
      <c r="E25" s="156"/>
    </row>
    <row r="26" spans="2:11" ht="13.25" customHeight="1" x14ac:dyDescent="0.35">
      <c r="B26" s="60" t="s">
        <v>522</v>
      </c>
      <c r="C26" s="60" t="s">
        <v>523</v>
      </c>
      <c r="D26" s="156">
        <v>916.29399999999998</v>
      </c>
      <c r="E26" s="156"/>
    </row>
    <row r="27" spans="2:11" ht="13.25" customHeight="1" x14ac:dyDescent="0.35">
      <c r="B27" s="60" t="s">
        <v>524</v>
      </c>
      <c r="C27" s="60" t="s">
        <v>525</v>
      </c>
      <c r="D27" s="156">
        <v>6219.3680000000004</v>
      </c>
      <c r="E27" s="156"/>
    </row>
    <row r="28" spans="2:11" ht="13.25" customHeight="1" x14ac:dyDescent="0.35">
      <c r="B28" s="60" t="s">
        <v>526</v>
      </c>
      <c r="C28" s="60" t="s">
        <v>489</v>
      </c>
      <c r="D28" s="156">
        <v>6463.3270000000002</v>
      </c>
      <c r="E28" s="156"/>
    </row>
    <row r="29" spans="2:11" ht="13.25" customHeight="1" x14ac:dyDescent="0.35">
      <c r="B29" s="60" t="s">
        <v>527</v>
      </c>
      <c r="C29" s="60" t="s">
        <v>489</v>
      </c>
      <c r="D29" s="156">
        <v>1013.874</v>
      </c>
      <c r="E29" s="156"/>
    </row>
    <row r="30" spans="2:11" ht="13.25" customHeight="1" x14ac:dyDescent="0.35">
      <c r="B30" s="60" t="s">
        <v>528</v>
      </c>
      <c r="C30" s="60" t="s">
        <v>516</v>
      </c>
      <c r="D30" s="156">
        <v>5249.9930000000004</v>
      </c>
      <c r="E30" s="156"/>
    </row>
    <row r="31" spans="2:11" ht="13.25" customHeight="1" x14ac:dyDescent="0.35">
      <c r="B31" s="60" t="s">
        <v>529</v>
      </c>
      <c r="C31" s="60" t="s">
        <v>499</v>
      </c>
      <c r="D31" s="156">
        <v>1261.027</v>
      </c>
      <c r="E31" s="156"/>
    </row>
    <row r="32" spans="2:11" ht="13.25" customHeight="1" x14ac:dyDescent="0.35">
      <c r="B32" s="60" t="s">
        <v>530</v>
      </c>
      <c r="C32" s="60" t="s">
        <v>531</v>
      </c>
      <c r="D32" s="156">
        <v>5531.7110000000002</v>
      </c>
      <c r="E32" s="156"/>
    </row>
    <row r="33" spans="2:5" ht="13.25" customHeight="1" x14ac:dyDescent="0.35">
      <c r="B33" s="60" t="s">
        <v>532</v>
      </c>
      <c r="C33" s="60" t="s">
        <v>533</v>
      </c>
      <c r="D33" s="156">
        <v>1802.28</v>
      </c>
      <c r="E33" s="156"/>
    </row>
    <row r="34" spans="2:5" ht="13.25" customHeight="1" x14ac:dyDescent="0.35">
      <c r="B34" s="60" t="s">
        <v>534</v>
      </c>
      <c r="C34" s="60" t="s">
        <v>489</v>
      </c>
      <c r="D34" s="156">
        <v>3630.5390000000002</v>
      </c>
      <c r="E34" s="156"/>
    </row>
    <row r="35" spans="2:5" ht="13.25" customHeight="1" x14ac:dyDescent="0.35">
      <c r="B35" s="60" t="s">
        <v>535</v>
      </c>
      <c r="C35" s="60" t="s">
        <v>536</v>
      </c>
      <c r="D35" s="156">
        <v>3363.395</v>
      </c>
      <c r="E35" s="156"/>
    </row>
    <row r="36" spans="2:5" ht="13.25" customHeight="1" x14ac:dyDescent="0.35">
      <c r="B36" s="60" t="s">
        <v>537</v>
      </c>
      <c r="C36" s="60" t="s">
        <v>491</v>
      </c>
      <c r="D36" s="156">
        <v>1709.0440000000001</v>
      </c>
      <c r="E36" s="156"/>
    </row>
    <row r="37" spans="2:5" ht="13.25" customHeight="1" x14ac:dyDescent="0.35">
      <c r="B37" s="60" t="s">
        <v>538</v>
      </c>
      <c r="C37" s="60" t="s">
        <v>491</v>
      </c>
      <c r="D37" s="156">
        <v>2816.8969999999999</v>
      </c>
      <c r="E37" s="156"/>
    </row>
    <row r="38" spans="2:5" ht="13.25" customHeight="1" x14ac:dyDescent="0.35">
      <c r="B38" s="60" t="s">
        <v>539</v>
      </c>
      <c r="C38" s="60" t="s">
        <v>531</v>
      </c>
      <c r="D38" s="156">
        <v>2174.174</v>
      </c>
      <c r="E38" s="156"/>
    </row>
    <row r="39" spans="2:5" ht="13.25" customHeight="1" x14ac:dyDescent="0.35">
      <c r="B39" s="60" t="s">
        <v>540</v>
      </c>
      <c r="C39" s="60" t="s">
        <v>541</v>
      </c>
      <c r="D39" s="156">
        <v>1808.4280000000001</v>
      </c>
      <c r="E39" s="156"/>
    </row>
    <row r="40" spans="2:5" x14ac:dyDescent="0.35">
      <c r="B40" s="60" t="s">
        <v>542</v>
      </c>
      <c r="C40" s="60" t="s">
        <v>499</v>
      </c>
      <c r="D40" s="156">
        <v>1966.298</v>
      </c>
      <c r="E40" s="156"/>
    </row>
    <row r="41" spans="2:5" x14ac:dyDescent="0.35">
      <c r="B41" s="60" t="s">
        <v>543</v>
      </c>
      <c r="C41" s="60" t="s">
        <v>541</v>
      </c>
      <c r="D41" s="156">
        <v>1743.8630000000001</v>
      </c>
      <c r="E41" s="156"/>
    </row>
    <row r="42" spans="2:5" x14ac:dyDescent="0.35">
      <c r="B42" s="60" t="s">
        <v>544</v>
      </c>
      <c r="C42" s="60" t="s">
        <v>499</v>
      </c>
      <c r="D42" s="156">
        <v>17035.708999999999</v>
      </c>
      <c r="E42" s="156"/>
    </row>
    <row r="43" spans="2:5" x14ac:dyDescent="0.35">
      <c r="B43" s="60" t="s">
        <v>545</v>
      </c>
      <c r="C43" s="60" t="s">
        <v>489</v>
      </c>
      <c r="D43" s="156">
        <v>4953.6059999999998</v>
      </c>
      <c r="E43" s="156"/>
    </row>
    <row r="44" spans="2:5" x14ac:dyDescent="0.35">
      <c r="B44" s="60" t="s">
        <v>546</v>
      </c>
      <c r="C44" s="60" t="s">
        <v>520</v>
      </c>
      <c r="D44" s="156">
        <v>1266.171</v>
      </c>
      <c r="E44" s="156"/>
    </row>
    <row r="45" spans="2:5" x14ac:dyDescent="0.35">
      <c r="B45" s="60" t="s">
        <v>547</v>
      </c>
      <c r="C45" s="60" t="s">
        <v>504</v>
      </c>
      <c r="D45" s="156">
        <v>2375.7020000000002</v>
      </c>
      <c r="E45" s="156"/>
    </row>
    <row r="46" spans="2:5" x14ac:dyDescent="0.35">
      <c r="B46" s="60" t="s">
        <v>548</v>
      </c>
      <c r="C46" s="60" t="s">
        <v>525</v>
      </c>
      <c r="D46" s="156">
        <v>782.971</v>
      </c>
      <c r="E46" s="156"/>
    </row>
    <row r="47" spans="2:5" x14ac:dyDescent="0.35">
      <c r="B47" s="60" t="s">
        <v>549</v>
      </c>
      <c r="C47" s="60" t="s">
        <v>491</v>
      </c>
      <c r="D47" s="156">
        <v>1861.6949999999999</v>
      </c>
      <c r="E47" s="156"/>
    </row>
    <row r="48" spans="2:5" x14ac:dyDescent="0.35">
      <c r="B48" s="60" t="s">
        <v>550</v>
      </c>
      <c r="C48" s="60" t="s">
        <v>533</v>
      </c>
      <c r="D48" s="156">
        <v>1336.4169999999999</v>
      </c>
      <c r="E48" s="156"/>
    </row>
    <row r="49" spans="2:6" x14ac:dyDescent="0.35">
      <c r="B49" s="60" t="s">
        <v>551</v>
      </c>
      <c r="C49" s="60" t="s">
        <v>516</v>
      </c>
      <c r="D49" s="156">
        <v>11759.825000000001</v>
      </c>
      <c r="E49" s="156"/>
    </row>
    <row r="50" spans="2:6" x14ac:dyDescent="0.35">
      <c r="B50" s="60" t="s">
        <v>552</v>
      </c>
      <c r="C50" s="60" t="s">
        <v>516</v>
      </c>
      <c r="D50" s="156">
        <v>1087.0340000000001</v>
      </c>
      <c r="E50" s="156"/>
    </row>
    <row r="51" spans="2:6" x14ac:dyDescent="0.35">
      <c r="B51" s="60" t="s">
        <v>553</v>
      </c>
      <c r="C51" s="60" t="s">
        <v>554</v>
      </c>
      <c r="D51" s="156">
        <v>2609.1149999999998</v>
      </c>
      <c r="E51" s="156"/>
    </row>
    <row r="52" spans="2:6" x14ac:dyDescent="0.35">
      <c r="B52" s="60" t="s">
        <v>555</v>
      </c>
      <c r="C52" s="60" t="s">
        <v>556</v>
      </c>
      <c r="D52" s="156">
        <v>2329.2939999999999</v>
      </c>
      <c r="E52" s="156"/>
    </row>
    <row r="53" spans="2:6" x14ac:dyDescent="0.35">
      <c r="B53" s="60" t="s">
        <v>557</v>
      </c>
      <c r="C53" s="60" t="s">
        <v>558</v>
      </c>
      <c r="D53" s="156">
        <v>500.65499999999997</v>
      </c>
      <c r="E53" s="156"/>
    </row>
    <row r="54" spans="2:6" x14ac:dyDescent="0.35">
      <c r="B54" s="60" t="s">
        <v>559</v>
      </c>
      <c r="C54" s="60" t="s">
        <v>516</v>
      </c>
      <c r="D54" s="156">
        <v>2085.4859999999999</v>
      </c>
      <c r="E54" s="156"/>
    </row>
    <row r="57" spans="2:6" ht="13.15" thickBot="1" x14ac:dyDescent="0.4"/>
    <row r="58" spans="2:6" ht="13.5" thickBot="1" x14ac:dyDescent="0.45">
      <c r="B58" s="10" t="s">
        <v>10</v>
      </c>
      <c r="C58" s="11"/>
      <c r="D58" s="11"/>
      <c r="E58" s="11"/>
      <c r="F58" s="12"/>
    </row>
    <row r="59" spans="2:6" hidden="1" outlineLevel="1" x14ac:dyDescent="0.35">
      <c r="B59" s="13"/>
      <c r="F59" s="14"/>
    </row>
    <row r="60" spans="2:6" hidden="1" outlineLevel="1" x14ac:dyDescent="0.35">
      <c r="B60" s="13" t="s">
        <v>560</v>
      </c>
      <c r="F60" s="14"/>
    </row>
    <row r="61" spans="2:6" hidden="1" outlineLevel="1" x14ac:dyDescent="0.35">
      <c r="B61" s="13" t="s">
        <v>561</v>
      </c>
      <c r="F61" s="14"/>
    </row>
    <row r="62" spans="2:6" hidden="1" outlineLevel="1" x14ac:dyDescent="0.35">
      <c r="B62" s="13" t="s">
        <v>562</v>
      </c>
      <c r="F62" s="14"/>
    </row>
    <row r="63" spans="2:6" hidden="1" outlineLevel="1" x14ac:dyDescent="0.35">
      <c r="B63" s="13" t="s">
        <v>563</v>
      </c>
      <c r="F63" s="14"/>
    </row>
    <row r="64" spans="2:6" hidden="1" outlineLevel="1" x14ac:dyDescent="0.35">
      <c r="B64" s="13" t="s">
        <v>564</v>
      </c>
      <c r="F64" s="14"/>
    </row>
    <row r="65" spans="2:6" ht="13.15" hidden="1" outlineLevel="1" thickBot="1" x14ac:dyDescent="0.4">
      <c r="B65" s="15"/>
      <c r="C65" s="16"/>
      <c r="D65" s="16"/>
      <c r="E65" s="16"/>
      <c r="F65" s="17"/>
    </row>
    <row r="66" spans="2:6" collapsed="1" x14ac:dyDescent="0.35"/>
  </sheetData>
  <pageMargins left="0.7" right="0.7" top="0.75" bottom="0.75" header="0.3" footer="0.3"/>
  <drawing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CC17EA-37BB-4B89-A75F-5CE5ECE29F61}">
  <sheetPr codeName="Sheet19"/>
  <dimension ref="A1:G40"/>
  <sheetViews>
    <sheetView showGridLines="0" zoomScale="90" zoomScaleNormal="90" workbookViewId="0"/>
  </sheetViews>
  <sheetFormatPr defaultColWidth="8.86328125" defaultRowHeight="12.75" outlineLevelRow="1" x14ac:dyDescent="0.35"/>
  <cols>
    <col min="1" max="2" width="15.796875" style="81" customWidth="1"/>
    <col min="3" max="3" width="24.19921875" style="81" bestFit="1" customWidth="1"/>
    <col min="4" max="4" width="12.796875" style="81" customWidth="1"/>
    <col min="5" max="16384" width="8.86328125" style="81"/>
  </cols>
  <sheetData>
    <row r="1" spans="1:4" ht="13.9" x14ac:dyDescent="0.4">
      <c r="A1" s="157" t="s">
        <v>565</v>
      </c>
    </row>
    <row r="4" spans="1:4" x14ac:dyDescent="0.35">
      <c r="A4" s="158"/>
    </row>
    <row r="5" spans="1:4" ht="13.15" thickBot="1" x14ac:dyDescent="0.4"/>
    <row r="6" spans="1:4" ht="26.65" thickBot="1" x14ac:dyDescent="0.4">
      <c r="A6" s="159" t="s">
        <v>566</v>
      </c>
      <c r="B6" s="159" t="s">
        <v>567</v>
      </c>
      <c r="C6" s="159" t="s">
        <v>568</v>
      </c>
      <c r="D6" s="160" t="s">
        <v>569</v>
      </c>
    </row>
    <row r="7" spans="1:4" x14ac:dyDescent="0.35">
      <c r="A7" s="161" t="s">
        <v>224</v>
      </c>
      <c r="B7" s="162" t="s">
        <v>570</v>
      </c>
      <c r="C7" s="162" t="s">
        <v>571</v>
      </c>
      <c r="D7" s="163">
        <v>100</v>
      </c>
    </row>
    <row r="8" spans="1:4" x14ac:dyDescent="0.35">
      <c r="A8" s="164" t="s">
        <v>227</v>
      </c>
      <c r="B8" s="165" t="s">
        <v>572</v>
      </c>
      <c r="C8" s="165" t="s">
        <v>573</v>
      </c>
      <c r="D8" s="166">
        <v>70</v>
      </c>
    </row>
    <row r="9" spans="1:4" x14ac:dyDescent="0.35">
      <c r="A9" s="164" t="s">
        <v>230</v>
      </c>
      <c r="B9" s="165" t="s">
        <v>574</v>
      </c>
      <c r="C9" s="165" t="s">
        <v>575</v>
      </c>
      <c r="D9" s="166">
        <v>40</v>
      </c>
    </row>
    <row r="10" spans="1:4" x14ac:dyDescent="0.35">
      <c r="A10" s="167" t="s">
        <v>576</v>
      </c>
      <c r="B10" s="168" t="s">
        <v>577</v>
      </c>
      <c r="C10" s="168" t="s">
        <v>578</v>
      </c>
      <c r="D10" s="166">
        <v>75</v>
      </c>
    </row>
    <row r="11" spans="1:4" x14ac:dyDescent="0.35">
      <c r="A11" s="164" t="s">
        <v>236</v>
      </c>
      <c r="B11" s="165" t="s">
        <v>233</v>
      </c>
      <c r="C11" s="165" t="s">
        <v>579</v>
      </c>
      <c r="D11" s="166">
        <v>35</v>
      </c>
    </row>
    <row r="12" spans="1:4" x14ac:dyDescent="0.35">
      <c r="A12" s="164" t="s">
        <v>580</v>
      </c>
      <c r="B12" s="165" t="s">
        <v>581</v>
      </c>
      <c r="C12" s="165" t="s">
        <v>582</v>
      </c>
      <c r="D12" s="166">
        <v>65</v>
      </c>
    </row>
    <row r="13" spans="1:4" x14ac:dyDescent="0.35">
      <c r="A13" s="169" t="s">
        <v>233</v>
      </c>
      <c r="B13" s="170" t="s">
        <v>572</v>
      </c>
      <c r="C13" s="170" t="s">
        <v>583</v>
      </c>
      <c r="D13" s="166">
        <v>50</v>
      </c>
    </row>
    <row r="14" spans="1:4" x14ac:dyDescent="0.35">
      <c r="A14" s="164" t="s">
        <v>584</v>
      </c>
      <c r="B14" s="165" t="s">
        <v>576</v>
      </c>
      <c r="C14" s="165" t="s">
        <v>585</v>
      </c>
      <c r="D14" s="166">
        <v>45</v>
      </c>
    </row>
    <row r="15" spans="1:4" x14ac:dyDescent="0.35">
      <c r="A15" s="164" t="s">
        <v>586</v>
      </c>
      <c r="B15" s="165" t="s">
        <v>587</v>
      </c>
      <c r="C15" s="165" t="s">
        <v>588</v>
      </c>
      <c r="D15" s="166">
        <v>35</v>
      </c>
    </row>
    <row r="16" spans="1:4" x14ac:dyDescent="0.35">
      <c r="A16" s="164" t="s">
        <v>589</v>
      </c>
      <c r="B16" s="165" t="s">
        <v>239</v>
      </c>
      <c r="C16" s="165" t="s">
        <v>590</v>
      </c>
      <c r="D16" s="166">
        <v>90</v>
      </c>
    </row>
    <row r="17" spans="1:7" x14ac:dyDescent="0.35">
      <c r="A17" s="164" t="s">
        <v>591</v>
      </c>
      <c r="B17" s="165" t="s">
        <v>592</v>
      </c>
      <c r="C17" s="165" t="s">
        <v>593</v>
      </c>
      <c r="D17" s="166">
        <v>25</v>
      </c>
    </row>
    <row r="18" spans="1:7" x14ac:dyDescent="0.35">
      <c r="A18" s="164" t="s">
        <v>239</v>
      </c>
      <c r="B18" s="165" t="s">
        <v>589</v>
      </c>
      <c r="C18" s="165" t="s">
        <v>594</v>
      </c>
      <c r="D18" s="166">
        <v>70</v>
      </c>
    </row>
    <row r="19" spans="1:7" x14ac:dyDescent="0.35">
      <c r="A19" s="167" t="s">
        <v>577</v>
      </c>
      <c r="B19" s="168" t="s">
        <v>576</v>
      </c>
      <c r="C19" s="168" t="s">
        <v>595</v>
      </c>
      <c r="D19" s="166">
        <v>75</v>
      </c>
    </row>
    <row r="20" spans="1:7" x14ac:dyDescent="0.35">
      <c r="A20" s="164" t="s">
        <v>596</v>
      </c>
      <c r="B20" s="165" t="s">
        <v>580</v>
      </c>
      <c r="C20" s="165" t="s">
        <v>597</v>
      </c>
      <c r="D20" s="171">
        <v>115</v>
      </c>
    </row>
    <row r="21" spans="1:7" x14ac:dyDescent="0.35">
      <c r="A21" s="164" t="s">
        <v>576</v>
      </c>
      <c r="B21" s="165" t="s">
        <v>584</v>
      </c>
      <c r="C21" s="165" t="s">
        <v>598</v>
      </c>
      <c r="D21" s="166">
        <v>10</v>
      </c>
    </row>
    <row r="22" spans="1:7" x14ac:dyDescent="0.35">
      <c r="A22" s="169" t="s">
        <v>572</v>
      </c>
      <c r="B22" s="170" t="s">
        <v>233</v>
      </c>
      <c r="C22" s="170" t="s">
        <v>599</v>
      </c>
      <c r="D22" s="166">
        <v>50</v>
      </c>
    </row>
    <row r="23" spans="1:7" x14ac:dyDescent="0.35">
      <c r="A23" s="164" t="s">
        <v>580</v>
      </c>
      <c r="B23" s="165" t="s">
        <v>596</v>
      </c>
      <c r="C23" s="165" t="s">
        <v>600</v>
      </c>
      <c r="D23" s="166">
        <v>14</v>
      </c>
    </row>
    <row r="24" spans="1:7" x14ac:dyDescent="0.35">
      <c r="A24" s="164" t="s">
        <v>572</v>
      </c>
      <c r="B24" s="165" t="s">
        <v>227</v>
      </c>
      <c r="C24" s="165" t="s">
        <v>601</v>
      </c>
      <c r="D24" s="166">
        <v>33</v>
      </c>
    </row>
    <row r="25" spans="1:7" x14ac:dyDescent="0.35">
      <c r="A25" s="164" t="s">
        <v>587</v>
      </c>
      <c r="B25" s="165" t="s">
        <v>586</v>
      </c>
      <c r="C25" s="165" t="s">
        <v>602</v>
      </c>
      <c r="D25" s="166">
        <v>17</v>
      </c>
    </row>
    <row r="26" spans="1:7" x14ac:dyDescent="0.35">
      <c r="A26" s="172" t="s">
        <v>570</v>
      </c>
      <c r="B26" s="173" t="s">
        <v>224</v>
      </c>
      <c r="C26" s="173" t="s">
        <v>603</v>
      </c>
      <c r="D26" s="174">
        <v>40</v>
      </c>
    </row>
    <row r="29" spans="1:7" ht="13.15" thickBot="1" x14ac:dyDescent="0.4"/>
    <row r="30" spans="1:7" s="175" customFormat="1" ht="13.5" thickBot="1" x14ac:dyDescent="0.45">
      <c r="B30" s="176" t="s">
        <v>10</v>
      </c>
      <c r="C30" s="177"/>
      <c r="D30" s="177"/>
      <c r="E30" s="177"/>
      <c r="F30" s="177"/>
      <c r="G30" s="178"/>
    </row>
    <row r="31" spans="1:7" s="175" customFormat="1" hidden="1" outlineLevel="1" x14ac:dyDescent="0.35">
      <c r="B31" s="179"/>
      <c r="G31" s="180"/>
    </row>
    <row r="32" spans="1:7" s="175" customFormat="1" hidden="1" outlineLevel="1" x14ac:dyDescent="0.35">
      <c r="B32" s="179" t="s">
        <v>604</v>
      </c>
      <c r="G32" s="180"/>
    </row>
    <row r="33" spans="2:7" s="175" customFormat="1" hidden="1" outlineLevel="1" x14ac:dyDescent="0.35">
      <c r="B33" s="179" t="s">
        <v>605</v>
      </c>
      <c r="G33" s="180"/>
    </row>
    <row r="34" spans="2:7" s="175" customFormat="1" hidden="1" outlineLevel="1" x14ac:dyDescent="0.35">
      <c r="B34" s="179" t="s">
        <v>606</v>
      </c>
      <c r="G34" s="180"/>
    </row>
    <row r="35" spans="2:7" s="175" customFormat="1" hidden="1" outlineLevel="1" x14ac:dyDescent="0.35">
      <c r="B35" s="179" t="s">
        <v>607</v>
      </c>
      <c r="G35" s="180"/>
    </row>
    <row r="36" spans="2:7" s="175" customFormat="1" hidden="1" outlineLevel="1" x14ac:dyDescent="0.35">
      <c r="B36" s="179" t="s">
        <v>608</v>
      </c>
      <c r="G36" s="180"/>
    </row>
    <row r="37" spans="2:7" s="175" customFormat="1" hidden="1" outlineLevel="1" x14ac:dyDescent="0.35">
      <c r="B37" s="179" t="s">
        <v>609</v>
      </c>
      <c r="G37" s="180"/>
    </row>
    <row r="38" spans="2:7" s="175" customFormat="1" hidden="1" outlineLevel="1" x14ac:dyDescent="0.35">
      <c r="B38" s="179" t="s">
        <v>610</v>
      </c>
      <c r="G38" s="180"/>
    </row>
    <row r="39" spans="2:7" s="175" customFormat="1" ht="13.15" hidden="1" outlineLevel="1" thickBot="1" x14ac:dyDescent="0.4">
      <c r="B39" s="181"/>
      <c r="C39" s="182"/>
      <c r="D39" s="182"/>
      <c r="E39" s="182"/>
      <c r="F39" s="182"/>
      <c r="G39" s="183"/>
    </row>
    <row r="40" spans="2:7" s="175" customFormat="1" collapsed="1" x14ac:dyDescent="0.3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29</vt:i4>
      </vt:variant>
    </vt:vector>
  </HeadingPairs>
  <TitlesOfParts>
    <vt:vector size="29" baseType="lpstr">
      <vt:lpstr>SUMIFS</vt:lpstr>
      <vt:lpstr>Contents</vt:lpstr>
      <vt:lpstr>Data Cleaning &amp; Analysis</vt:lpstr>
      <vt:lpstr>Sheet1</vt:lpstr>
      <vt:lpstr>DataTransform - SUBSTITUTE</vt:lpstr>
      <vt:lpstr>Dateing Tips</vt:lpstr>
      <vt:lpstr>Cell Ref ($) &amp; Dynamic Arrays</vt:lpstr>
      <vt:lpstr>Ethos of Business Modelling</vt:lpstr>
      <vt:lpstr>Find &amp; Replace</vt:lpstr>
      <vt:lpstr>Pivots, Countifs, #, Flash Fill</vt:lpstr>
      <vt:lpstr>Detail1</vt:lpstr>
      <vt:lpstr>Detail2</vt:lpstr>
      <vt:lpstr>Sheet2</vt:lpstr>
      <vt:lpstr>Pivots, Countifs, #, Flash  (2)</vt:lpstr>
      <vt:lpstr>Lookups</vt:lpstr>
      <vt:lpstr>Sheet3</vt:lpstr>
      <vt:lpstr>Approximate Lookups</vt:lpstr>
      <vt:lpstr>PowerQuery</vt:lpstr>
      <vt:lpstr>3D Lookups</vt:lpstr>
      <vt:lpstr>Multi-Vlookup</vt:lpstr>
      <vt:lpstr>EMI Computations - Goal Seek</vt:lpstr>
      <vt:lpstr>3D Lookups (3)</vt:lpstr>
      <vt:lpstr>3D Lookups (2)</vt:lpstr>
      <vt:lpstr>DataTypes</vt:lpstr>
      <vt:lpstr>Data visualization</vt:lpstr>
      <vt:lpstr>Take_Home_Case_Studies&gt;&gt;</vt:lpstr>
      <vt:lpstr>NPV, IRR &amp; DV</vt:lpstr>
      <vt:lpstr>Dashboard &amp; Rankif</vt:lpstr>
      <vt:lpstr>Revenue Analysis PrimeNum</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Chinmaya Amte</dc:creator>
  <cp:lastModifiedBy>Chinmaya Amte</cp:lastModifiedBy>
  <dcterms:created xsi:type="dcterms:W3CDTF">2015-06-05T18:17:20Z</dcterms:created>
  <dcterms:modified xsi:type="dcterms:W3CDTF">2025-10-16T19:17:15Z</dcterms:modified>
</cp:coreProperties>
</file>